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carlislecompanies-my.sharepoint.com/personal/austin_kulp_carlisleccm_com/Documents/FleeceBACK - Flexible FAST/Flexible FAST Calculators/"/>
    </mc:Choice>
  </mc:AlternateContent>
  <xr:revisionPtr revIDLastSave="1" documentId="8_{E58B74A0-9295-4871-8DD5-6B1DF7DD02B5}" xr6:coauthVersionLast="47" xr6:coauthVersionMax="47" xr10:uidLastSave="{7B7C9E3D-DA2A-4984-9DF8-6BC6CD01240E}"/>
  <bookViews>
    <workbookView xWindow="-28920" yWindow="-60" windowWidth="29040" windowHeight="15840" xr2:uid="{00000000-000D-0000-FFFF-FFFF00000000}"/>
  </bookViews>
  <sheets>
    <sheet name="SynTec_FAST" sheetId="4" r:id="rId1"/>
    <sheet name="Calculator" sheetId="1" state="hidden" r:id="rId2"/>
    <sheet name="Coverage Rates" sheetId="2" state="hidden" r:id="rId3"/>
    <sheet name="Input Data" sheetId="3" state="hidden" r:id="rId4"/>
    <sheet name="MISC" sheetId="6" state="hidden" r:id="rId5"/>
  </sheets>
  <externalReferences>
    <externalReference r:id="rId6"/>
  </externalReferences>
  <definedNames>
    <definedName name="cost">SynTec_FAST!$G$6:$H$14</definedName>
    <definedName name="FAST">MISC!$A$3:$D$16</definedName>
    <definedName name="lookup">SynTec_FAST!$V$2:$Y$7</definedName>
    <definedName name="_xlnm.Print_Area" localSheetId="0">SynTec_FAST!$B$1:$I$61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 l="1"/>
  <c r="K4" i="2"/>
  <c r="J4" i="2"/>
  <c r="I4" i="2"/>
  <c r="H4" i="2"/>
  <c r="L7" i="2"/>
  <c r="L6" i="2"/>
  <c r="L5" i="2"/>
  <c r="H5" i="2"/>
  <c r="F35" i="4" l="1"/>
  <c r="F34" i="4"/>
  <c r="E37" i="4"/>
  <c r="E38" i="4" s="1"/>
  <c r="T17" i="2"/>
  <c r="P20" i="2"/>
  <c r="F29" i="4"/>
  <c r="H6" i="4"/>
  <c r="G35" i="4"/>
  <c r="E35" i="4"/>
  <c r="G34" i="4"/>
  <c r="E34" i="4"/>
  <c r="G33" i="4"/>
  <c r="E33" i="4"/>
  <c r="G32" i="4"/>
  <c r="E32" i="4"/>
  <c r="I31" i="4"/>
  <c r="G31" i="4"/>
  <c r="E31" i="4"/>
  <c r="I30" i="4"/>
  <c r="G30" i="4"/>
  <c r="E30" i="4"/>
  <c r="I29" i="4"/>
  <c r="H29" i="4"/>
  <c r="E29" i="4"/>
  <c r="G28" i="4"/>
  <c r="E28" i="4"/>
  <c r="I27" i="4"/>
  <c r="H27" i="4"/>
  <c r="G27" i="4"/>
  <c r="F27" i="4"/>
  <c r="E16" i="4" l="1"/>
  <c r="E21" i="4" s="1"/>
  <c r="B4" i="1"/>
  <c r="K7" i="2" l="1"/>
  <c r="E17" i="4"/>
  <c r="E23" i="4" s="1"/>
  <c r="G53" i="4"/>
  <c r="E53" i="4"/>
  <c r="G55" i="4"/>
  <c r="F55" i="4"/>
  <c r="E55" i="4"/>
  <c r="B18" i="2" l="1"/>
  <c r="C18" i="2" s="1"/>
  <c r="G18" i="2" s="1"/>
  <c r="J18" i="2" s="1"/>
  <c r="M18" i="2" s="1"/>
  <c r="P18" i="2" s="1"/>
  <c r="C13" i="2"/>
  <c r="G13" i="2" s="1"/>
  <c r="H13" i="2" l="1"/>
  <c r="J13" i="2"/>
  <c r="M13" i="2" s="1"/>
  <c r="P13" i="2" s="1"/>
  <c r="J25" i="2"/>
  <c r="I13" i="2"/>
  <c r="L13" i="2" s="1"/>
  <c r="O13" i="2" s="1"/>
  <c r="R13" i="2" s="1"/>
  <c r="I18" i="2"/>
  <c r="L18" i="2" s="1"/>
  <c r="O18" i="2" s="1"/>
  <c r="R18" i="2" s="1"/>
  <c r="H18" i="2"/>
  <c r="K18" i="2" s="1"/>
  <c r="N18" i="2" s="1"/>
  <c r="Q18" i="2" s="1"/>
  <c r="K13" i="2" l="1"/>
  <c r="N13" i="2" s="1"/>
  <c r="Q13" i="2" s="1"/>
  <c r="K25" i="2"/>
  <c r="I21" i="3" l="1"/>
  <c r="J21" i="3" s="1"/>
  <c r="D23" i="3"/>
  <c r="D21" i="3" l="1"/>
  <c r="C20" i="2"/>
  <c r="C21" i="2"/>
  <c r="T21" i="2" s="1"/>
  <c r="C19" i="2"/>
  <c r="C17" i="2"/>
  <c r="C16" i="2"/>
  <c r="C15" i="2"/>
  <c r="C14" i="2"/>
  <c r="N25" i="2"/>
  <c r="Q25" i="2" s="1"/>
  <c r="L25" i="2"/>
  <c r="O25" i="2" s="1"/>
  <c r="R25" i="2" s="1"/>
  <c r="M25" i="2"/>
  <c r="P25" i="2" s="1"/>
  <c r="K5" i="2"/>
  <c r="K6" i="2"/>
  <c r="I3" i="2"/>
  <c r="G20" i="2" l="1"/>
  <c r="I20" i="2"/>
  <c r="H20" i="2"/>
  <c r="H14" i="2"/>
  <c r="G14" i="2"/>
  <c r="I14" i="2"/>
  <c r="G19" i="2"/>
  <c r="I19" i="2"/>
  <c r="H19" i="2"/>
  <c r="H15" i="2"/>
  <c r="I15" i="2"/>
  <c r="G15" i="2"/>
  <c r="I21" i="2"/>
  <c r="H21" i="2"/>
  <c r="G21" i="2"/>
  <c r="I16" i="2"/>
  <c r="H16" i="2"/>
  <c r="G16" i="2"/>
  <c r="G17" i="2"/>
  <c r="I17" i="2"/>
  <c r="H17" i="2"/>
  <c r="G25" i="2"/>
  <c r="H25" i="2"/>
  <c r="I25" i="2"/>
  <c r="G26" i="2"/>
  <c r="H26" i="2"/>
  <c r="I26" i="2"/>
  <c r="H27" i="2"/>
  <c r="I27" i="2"/>
  <c r="G27" i="2"/>
  <c r="H28" i="2"/>
  <c r="I28" i="2"/>
  <c r="G28" i="2"/>
  <c r="G29" i="2"/>
  <c r="H29" i="2"/>
  <c r="I29" i="2"/>
  <c r="G30" i="2"/>
  <c r="H30" i="2"/>
  <c r="I30" i="2"/>
  <c r="G32" i="2"/>
  <c r="H32" i="2"/>
  <c r="I32" i="2"/>
  <c r="G31" i="2"/>
  <c r="H31" i="2"/>
  <c r="I31" i="2"/>
  <c r="G54" i="4"/>
  <c r="E54" i="4"/>
  <c r="I51" i="4"/>
  <c r="G51" i="4"/>
  <c r="E51" i="4"/>
  <c r="A11" i="1"/>
  <c r="A19" i="1"/>
  <c r="A13" i="1"/>
  <c r="A21" i="1"/>
  <c r="A9" i="6"/>
  <c r="A10" i="6"/>
  <c r="A11" i="6"/>
  <c r="A12" i="6"/>
  <c r="A13" i="6"/>
  <c r="AB7" i="6"/>
  <c r="AB5" i="6"/>
  <c r="X28" i="6"/>
  <c r="X26" i="6"/>
  <c r="X23" i="6"/>
  <c r="X21" i="6"/>
  <c r="X18" i="6"/>
  <c r="X16" i="6"/>
  <c r="H10" i="4" l="1"/>
  <c r="H14" i="4"/>
  <c r="H8" i="4"/>
  <c r="H12" i="4"/>
  <c r="K31" i="2"/>
  <c r="N31" i="2" s="1"/>
  <c r="Q31" i="2" s="1"/>
  <c r="K20" i="2"/>
  <c r="N20" i="2" s="1"/>
  <c r="Q20" i="2" s="1"/>
  <c r="J20" i="2"/>
  <c r="M20" i="2" s="1"/>
  <c r="N14" i="1" s="1"/>
  <c r="J31" i="2"/>
  <c r="M31" i="2" s="1"/>
  <c r="P31" i="2" s="1"/>
  <c r="L20" i="2"/>
  <c r="O20" i="2" s="1"/>
  <c r="R20" i="2" s="1"/>
  <c r="L31" i="2"/>
  <c r="O31" i="2" s="1"/>
  <c r="R31" i="2" s="1"/>
  <c r="K29" i="2"/>
  <c r="N29" i="2" s="1"/>
  <c r="Q29" i="2" s="1"/>
  <c r="K17" i="2"/>
  <c r="N17" i="2" s="1"/>
  <c r="Q17" i="2" s="1"/>
  <c r="J14" i="2"/>
  <c r="M14" i="2" s="1"/>
  <c r="P14" i="2" s="1"/>
  <c r="J26" i="2"/>
  <c r="M26" i="2" s="1"/>
  <c r="P26" i="2" s="1"/>
  <c r="J17" i="2"/>
  <c r="M17" i="2" s="1"/>
  <c r="P17" i="2" s="1"/>
  <c r="N12" i="1" s="1"/>
  <c r="J29" i="2"/>
  <c r="M29" i="2" s="1"/>
  <c r="P29" i="2" s="1"/>
  <c r="J21" i="2"/>
  <c r="M21" i="2" s="1"/>
  <c r="P21" i="2" s="1"/>
  <c r="J32" i="2"/>
  <c r="M32" i="2" s="1"/>
  <c r="P32" i="2" s="1"/>
  <c r="L15" i="2"/>
  <c r="O15" i="2" s="1"/>
  <c r="R15" i="2" s="1"/>
  <c r="L27" i="2"/>
  <c r="O27" i="2" s="1"/>
  <c r="R27" i="2" s="1"/>
  <c r="J30" i="2"/>
  <c r="M30" i="2" s="1"/>
  <c r="P30" i="2" s="1"/>
  <c r="J19" i="2"/>
  <c r="M19" i="2" s="1"/>
  <c r="P19" i="2" s="1"/>
  <c r="K28" i="2"/>
  <c r="N28" i="2" s="1"/>
  <c r="Q28" i="2" s="1"/>
  <c r="K16" i="2"/>
  <c r="N16" i="2" s="1"/>
  <c r="Q16" i="2" s="1"/>
  <c r="K30" i="2"/>
  <c r="N30" i="2" s="1"/>
  <c r="Q30" i="2" s="1"/>
  <c r="K19" i="2"/>
  <c r="N19" i="2" s="1"/>
  <c r="Q19" i="2" s="1"/>
  <c r="J16" i="2"/>
  <c r="M16" i="2" s="1"/>
  <c r="P16" i="2" s="1"/>
  <c r="J28" i="2"/>
  <c r="M28" i="2" s="1"/>
  <c r="P28" i="2" s="1"/>
  <c r="K21" i="2"/>
  <c r="N21" i="2" s="1"/>
  <c r="Q21" i="2" s="1"/>
  <c r="K32" i="2"/>
  <c r="N32" i="2" s="1"/>
  <c r="Q32" i="2" s="1"/>
  <c r="K27" i="2"/>
  <c r="N27" i="2" s="1"/>
  <c r="Q27" i="2" s="1"/>
  <c r="K15" i="2"/>
  <c r="N15" i="2" s="1"/>
  <c r="Q15" i="2" s="1"/>
  <c r="L14" i="2"/>
  <c r="O14" i="2" s="1"/>
  <c r="R14" i="2" s="1"/>
  <c r="L26" i="2"/>
  <c r="O26" i="2" s="1"/>
  <c r="R26" i="2" s="1"/>
  <c r="L21" i="2"/>
  <c r="O21" i="2" s="1"/>
  <c r="R21" i="2" s="1"/>
  <c r="L32" i="2"/>
  <c r="O32" i="2" s="1"/>
  <c r="R32" i="2" s="1"/>
  <c r="L17" i="2"/>
  <c r="O17" i="2" s="1"/>
  <c r="R17" i="2" s="1"/>
  <c r="P12" i="1" s="1"/>
  <c r="L29" i="2"/>
  <c r="O29" i="2" s="1"/>
  <c r="R29" i="2" s="1"/>
  <c r="L16" i="2"/>
  <c r="O16" i="2" s="1"/>
  <c r="R16" i="2" s="1"/>
  <c r="L28" i="2"/>
  <c r="O28" i="2" s="1"/>
  <c r="R28" i="2" s="1"/>
  <c r="J27" i="2"/>
  <c r="M27" i="2" s="1"/>
  <c r="P27" i="2" s="1"/>
  <c r="J15" i="2"/>
  <c r="M15" i="2" s="1"/>
  <c r="P15" i="2" s="1"/>
  <c r="L19" i="2"/>
  <c r="O19" i="2" s="1"/>
  <c r="R19" i="2" s="1"/>
  <c r="L30" i="2"/>
  <c r="O30" i="2" s="1"/>
  <c r="R30" i="2" s="1"/>
  <c r="K14" i="2"/>
  <c r="N14" i="2" s="1"/>
  <c r="Q14" i="2" s="1"/>
  <c r="K26" i="2"/>
  <c r="N26" i="2" s="1"/>
  <c r="Q26" i="2" s="1"/>
  <c r="I17" i="4"/>
  <c r="H17" i="4"/>
  <c r="G17" i="4"/>
  <c r="G23" i="4" s="1"/>
  <c r="F17" i="4"/>
  <c r="F23" i="4" s="1"/>
  <c r="I16" i="4"/>
  <c r="I21" i="4" s="1"/>
  <c r="H16" i="4"/>
  <c r="G16" i="4"/>
  <c r="G21" i="4" s="1"/>
  <c r="F16" i="4"/>
  <c r="F21" i="4" s="1"/>
  <c r="I37" i="4"/>
  <c r="I39" i="4" s="1"/>
  <c r="I28" i="4" s="1"/>
  <c r="H37" i="4"/>
  <c r="G37" i="4"/>
  <c r="G40" i="4" s="1"/>
  <c r="G29" i="4" s="1"/>
  <c r="F37" i="4"/>
  <c r="F44" i="4" s="1"/>
  <c r="E27" i="4"/>
  <c r="E52" i="4"/>
  <c r="E56" i="4"/>
  <c r="E49" i="4"/>
  <c r="G49" i="4"/>
  <c r="E50" i="4"/>
  <c r="F50" i="4"/>
  <c r="H50" i="4"/>
  <c r="I50" i="4"/>
  <c r="G52" i="4"/>
  <c r="I52" i="4"/>
  <c r="F56" i="4"/>
  <c r="G56" i="4"/>
  <c r="F48" i="4"/>
  <c r="G48" i="4"/>
  <c r="H48" i="4"/>
  <c r="I48" i="4"/>
  <c r="B1" i="1"/>
  <c r="I4" i="1"/>
  <c r="H4" i="1"/>
  <c r="G4" i="1"/>
  <c r="F4" i="1"/>
  <c r="E4" i="1"/>
  <c r="D4" i="1"/>
  <c r="C4" i="1"/>
  <c r="C6" i="1" s="1"/>
  <c r="G25" i="4" l="1"/>
  <c r="G50" i="4" s="1"/>
  <c r="I23" i="4"/>
  <c r="H23" i="4"/>
  <c r="H45" i="4"/>
  <c r="H34" i="4" s="1"/>
  <c r="H43" i="4"/>
  <c r="H32" i="4" s="1"/>
  <c r="H42" i="4"/>
  <c r="H31" i="4" s="1"/>
  <c r="H41" i="4"/>
  <c r="H30" i="4" s="1"/>
  <c r="H46" i="4"/>
  <c r="H35" i="4" s="1"/>
  <c r="I45" i="4"/>
  <c r="I34" i="4" s="1"/>
  <c r="I46" i="4"/>
  <c r="I35" i="4" s="1"/>
  <c r="F42" i="4"/>
  <c r="F31" i="4" s="1"/>
  <c r="F43" i="4"/>
  <c r="F32" i="4" s="1"/>
  <c r="H21" i="4"/>
  <c r="H25" i="4" s="1"/>
  <c r="F25" i="4"/>
  <c r="I25" i="4"/>
  <c r="I49" i="4" s="1"/>
  <c r="I43" i="4"/>
  <c r="I32" i="4" s="1"/>
  <c r="E25" i="4"/>
  <c r="E48" i="4" s="1"/>
  <c r="H39" i="4"/>
  <c r="H28" i="4" s="1"/>
  <c r="H44" i="4"/>
  <c r="H33" i="4" s="1"/>
  <c r="F39" i="4"/>
  <c r="F28" i="4" s="1"/>
  <c r="F41" i="4"/>
  <c r="F30" i="4" s="1"/>
  <c r="I44" i="4"/>
  <c r="I33" i="4" s="1"/>
  <c r="O13" i="1"/>
  <c r="R13" i="1"/>
  <c r="N13" i="1"/>
  <c r="Q13" i="1"/>
  <c r="O11" i="1"/>
  <c r="O19" i="1" s="1"/>
  <c r="F11" i="1"/>
  <c r="F19" i="1" s="1"/>
  <c r="I11" i="1"/>
  <c r="I19" i="1" s="1"/>
  <c r="F12" i="1"/>
  <c r="O12" i="1"/>
  <c r="S13" i="1"/>
  <c r="P13" i="1"/>
  <c r="G11" i="1"/>
  <c r="G19" i="1" s="1"/>
  <c r="J11" i="1"/>
  <c r="J19" i="1" s="1"/>
  <c r="P11" i="1"/>
  <c r="P19" i="1" s="1"/>
  <c r="N11" i="1"/>
  <c r="N19" i="1" s="1"/>
  <c r="H11" i="1"/>
  <c r="H19" i="1" s="1"/>
  <c r="E11" i="1"/>
  <c r="E19" i="1" s="1"/>
  <c r="C1" i="1"/>
  <c r="D1" i="1"/>
  <c r="I56" i="4" l="1"/>
  <c r="I55" i="4"/>
  <c r="H55" i="4"/>
  <c r="H56" i="4"/>
  <c r="F33" i="4"/>
  <c r="F54" i="4" s="1"/>
  <c r="H52" i="4"/>
  <c r="F49" i="4"/>
  <c r="H53" i="4"/>
  <c r="F53" i="4"/>
  <c r="I53" i="4"/>
  <c r="C6" i="3"/>
  <c r="D6" i="3" s="1"/>
  <c r="G8" i="3" s="1"/>
  <c r="C3" i="3"/>
  <c r="D3" i="3" s="1"/>
  <c r="F2" i="3"/>
  <c r="C2" i="3"/>
  <c r="D2" i="3" s="1"/>
  <c r="F51" i="4" l="1"/>
  <c r="D4" i="3"/>
  <c r="A22" i="1"/>
  <c r="A14" i="1"/>
  <c r="P11" i="2"/>
  <c r="P12" i="2"/>
  <c r="Q12" i="2"/>
  <c r="R12" i="2"/>
  <c r="B8" i="1"/>
  <c r="B16" i="1" s="1"/>
  <c r="C8" i="1"/>
  <c r="C16" i="1" s="1"/>
  <c r="D8" i="1"/>
  <c r="D16" i="1" s="1"/>
  <c r="E9" i="1"/>
  <c r="E17" i="1" s="1"/>
  <c r="I9" i="1"/>
  <c r="I17" i="1" s="1"/>
  <c r="P9" i="1"/>
  <c r="P17" i="1" s="1"/>
  <c r="K10" i="1"/>
  <c r="K18" i="1" s="1"/>
  <c r="L10" i="1"/>
  <c r="L18" i="1" s="1"/>
  <c r="M10" i="1"/>
  <c r="M18" i="1" s="1"/>
  <c r="E12" i="1"/>
  <c r="E20" i="1" s="1"/>
  <c r="I12" i="1"/>
  <c r="I20" i="1" s="1"/>
  <c r="Q14" i="1"/>
  <c r="Q22" i="1" s="1"/>
  <c r="Q21" i="1" s="1"/>
  <c r="O14" i="1"/>
  <c r="O22" i="1" s="1"/>
  <c r="O21" i="1" s="1"/>
  <c r="S14" i="1"/>
  <c r="S22" i="1" s="1"/>
  <c r="S21" i="1" s="1"/>
  <c r="A12" i="1"/>
  <c r="M11" i="2"/>
  <c r="M12" i="2"/>
  <c r="N12" i="2"/>
  <c r="O12" i="2"/>
  <c r="D11" i="2"/>
  <c r="G11" i="2"/>
  <c r="J11" i="2"/>
  <c r="B12" i="2"/>
  <c r="C12" i="2"/>
  <c r="D12" i="2"/>
  <c r="E12" i="2"/>
  <c r="F12" i="2"/>
  <c r="G12" i="2"/>
  <c r="H12" i="2"/>
  <c r="I12" i="2"/>
  <c r="J12" i="2"/>
  <c r="K12" i="2"/>
  <c r="L12" i="2"/>
  <c r="A9" i="1"/>
  <c r="A18" i="1"/>
  <c r="C14" i="3" l="1"/>
  <c r="C11" i="3"/>
  <c r="C15" i="3"/>
  <c r="C12" i="3"/>
  <c r="H12" i="3" s="1"/>
  <c r="K12" i="3" s="1"/>
  <c r="C13" i="3"/>
  <c r="I13" i="3" s="1"/>
  <c r="L13" i="3" s="1"/>
  <c r="G11" i="3"/>
  <c r="J11" i="3" s="1"/>
  <c r="I14" i="3"/>
  <c r="L14" i="3" s="1"/>
  <c r="P20" i="1"/>
  <c r="H51" i="4"/>
  <c r="A16" i="1"/>
  <c r="P14" i="1"/>
  <c r="P22" i="1" s="1"/>
  <c r="P21" i="1" s="1"/>
  <c r="F9" i="1"/>
  <c r="F17" i="1" s="1"/>
  <c r="A8" i="1"/>
  <c r="F20" i="1"/>
  <c r="A10" i="1"/>
  <c r="N22" i="1"/>
  <c r="N21" i="1" s="1"/>
  <c r="H14" i="3"/>
  <c r="K14" i="3" s="1"/>
  <c r="J9" i="1"/>
  <c r="J17" i="1" s="1"/>
  <c r="N9" i="1"/>
  <c r="N17" i="1" s="1"/>
  <c r="J12" i="1"/>
  <c r="J20" i="1" s="1"/>
  <c r="R14" i="1"/>
  <c r="R22" i="1" s="1"/>
  <c r="R21" i="1" s="1"/>
  <c r="A17" i="1"/>
  <c r="G9" i="1"/>
  <c r="G17" i="1" s="1"/>
  <c r="O9" i="1"/>
  <c r="O17" i="1" s="1"/>
  <c r="G12" i="1"/>
  <c r="G20" i="1" s="1"/>
  <c r="H9" i="1"/>
  <c r="H17" i="1" s="1"/>
  <c r="H12" i="1"/>
  <c r="H20" i="1" s="1"/>
  <c r="A20" i="1"/>
  <c r="G13" i="3" l="1"/>
  <c r="J13" i="3" s="1"/>
  <c r="H13" i="3"/>
  <c r="K13" i="3" s="1"/>
  <c r="G12" i="3"/>
  <c r="J12" i="3" s="1"/>
  <c r="H15" i="3"/>
  <c r="K15" i="3" s="1"/>
  <c r="Q15" i="3" s="1"/>
  <c r="C18" i="3"/>
  <c r="G15" i="3"/>
  <c r="J15" i="3" s="1"/>
  <c r="M15" i="3" s="1"/>
  <c r="I11" i="3"/>
  <c r="L11" i="3" s="1"/>
  <c r="O11" i="3" s="1"/>
  <c r="G14" i="3"/>
  <c r="J14" i="3" s="1"/>
  <c r="P14" i="3" s="1"/>
  <c r="H11" i="3"/>
  <c r="K11" i="3" s="1"/>
  <c r="Q11" i="3" s="1"/>
  <c r="I12" i="3"/>
  <c r="L12" i="3" s="1"/>
  <c r="O12" i="3" s="1"/>
  <c r="I15" i="3"/>
  <c r="L15" i="3" s="1"/>
  <c r="O15" i="3" s="1"/>
  <c r="N20" i="1"/>
  <c r="O20" i="1"/>
  <c r="H54" i="4"/>
  <c r="I54" i="4"/>
  <c r="H49" i="4"/>
  <c r="F52" i="4"/>
  <c r="O13" i="3"/>
  <c r="R13" i="3"/>
  <c r="N12" i="3"/>
  <c r="Q12" i="3"/>
  <c r="M11" i="3"/>
  <c r="P11" i="3"/>
  <c r="M13" i="3"/>
  <c r="P13" i="3"/>
  <c r="N14" i="3"/>
  <c r="Q14" i="3"/>
  <c r="R14" i="3"/>
  <c r="O14" i="3"/>
  <c r="N13" i="3"/>
  <c r="Q13" i="3"/>
  <c r="P12" i="3"/>
  <c r="M12" i="3"/>
  <c r="S4" i="1"/>
  <c r="S6" i="1" s="1"/>
  <c r="R4" i="1"/>
  <c r="R6" i="1" s="1"/>
  <c r="Q4" i="1"/>
  <c r="Q6" i="1" s="1"/>
  <c r="P4" i="1"/>
  <c r="P6" i="1" s="1"/>
  <c r="O4" i="1"/>
  <c r="O6" i="1" s="1"/>
  <c r="N4" i="1"/>
  <c r="N6" i="1" s="1"/>
  <c r="M4" i="1"/>
  <c r="M6" i="1" s="1"/>
  <c r="L4" i="1"/>
  <c r="L6" i="1" s="1"/>
  <c r="K4" i="1"/>
  <c r="K6" i="1" s="1"/>
  <c r="J4" i="1"/>
  <c r="J6" i="1" s="1"/>
  <c r="I6" i="1"/>
  <c r="H6" i="1"/>
  <c r="G6" i="1"/>
  <c r="F6" i="1"/>
  <c r="E6" i="1"/>
  <c r="D6" i="1"/>
  <c r="B6" i="1"/>
  <c r="G5" i="1"/>
  <c r="F5" i="1"/>
  <c r="J5" i="1"/>
  <c r="I5" i="1"/>
  <c r="M5" i="1"/>
  <c r="I5" i="2"/>
  <c r="L5" i="1" s="1"/>
  <c r="J5" i="2"/>
  <c r="H6" i="2"/>
  <c r="P5" i="1" s="1"/>
  <c r="I6" i="2"/>
  <c r="O5" i="1" s="1"/>
  <c r="J6" i="2"/>
  <c r="H7" i="2"/>
  <c r="S5" i="1" s="1"/>
  <c r="I7" i="2"/>
  <c r="R5" i="1" s="1"/>
  <c r="J7" i="2"/>
  <c r="J3" i="2"/>
  <c r="C5" i="1"/>
  <c r="H3" i="2"/>
  <c r="D5" i="1" s="1"/>
  <c r="R11" i="3" l="1"/>
  <c r="N15" i="3"/>
  <c r="M14" i="3"/>
  <c r="R15" i="3"/>
  <c r="N5" i="1"/>
  <c r="P15" i="3"/>
  <c r="N11" i="3"/>
  <c r="R12" i="3"/>
  <c r="H5" i="1"/>
  <c r="B5" i="1"/>
  <c r="K5" i="1"/>
  <c r="Q5" i="1"/>
  <c r="E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Tony Garosi</author>
  </authors>
  <commentList>
    <comment ref="B12" authorId="0" shapeId="0" xr:uid="{00000000-0006-0000-0100-000001000000}">
      <text>
        <r>
          <rPr>
            <b/>
            <sz val="9"/>
            <color indexed="81"/>
            <rFont val="Tahoma"/>
            <family val="2"/>
          </rPr>
          <t>Tony Garosi:</t>
        </r>
        <r>
          <rPr>
            <sz val="9"/>
            <color indexed="81"/>
            <rFont val="Tahoma"/>
            <family val="2"/>
          </rPr>
          <t xml:space="preserve">
Seconds based on RIG Video and final adjustment made by Austin/Calaman</t>
        </r>
      </text>
    </comment>
  </commentList>
</comments>
</file>

<file path=xl/sharedStrings.xml><?xml version="1.0" encoding="utf-8"?>
<sst xmlns="http://schemas.openxmlformats.org/spreadsheetml/2006/main" count="257" uniqueCount="131">
  <si>
    <t>Dual Tank</t>
  </si>
  <si>
    <t>Price/set</t>
  </si>
  <si>
    <t>Packaging Method</t>
  </si>
  <si>
    <t>Roof sq. ft.</t>
  </si>
  <si>
    <t>Customer Input</t>
  </si>
  <si>
    <t>Price per Sq. Ft.</t>
  </si>
  <si>
    <t>50 Gal Drum</t>
  </si>
  <si>
    <t>15 Gal Drum</t>
  </si>
  <si>
    <t>Dual Cartridge</t>
  </si>
  <si>
    <t>Bag in Box</t>
  </si>
  <si>
    <t xml:space="preserve"> </t>
  </si>
  <si>
    <t>Coverage Rates 12" OC</t>
  </si>
  <si>
    <t>Coverage Rates 6" OC</t>
  </si>
  <si>
    <t>Coverage Rates 4" OC</t>
  </si>
  <si>
    <t>GAL/ sq. ft.</t>
  </si>
  <si>
    <t>Measurement in sq. ft.</t>
  </si>
  <si>
    <t>Dual Jug</t>
  </si>
  <si>
    <t>Gal Per package (gal)</t>
  </si>
  <si>
    <t xml:space="preserve">Amount of adhesive required (package) </t>
  </si>
  <si>
    <t>Labor Rate</t>
  </si>
  <si>
    <t>Application Rates sec/sqft</t>
  </si>
  <si>
    <t>Hours of Application (does not include set up times)</t>
  </si>
  <si>
    <t>Total Labor</t>
  </si>
  <si>
    <t>Ft</t>
  </si>
  <si>
    <t>Inches</t>
  </si>
  <si>
    <t>" OC</t>
  </si>
  <si>
    <t>4" OC</t>
  </si>
  <si>
    <t>6" OC</t>
  </si>
  <si>
    <t>Total beads in 32' run</t>
  </si>
  <si>
    <t>Sq Ft</t>
  </si>
  <si>
    <t>bead / 32 sqft</t>
  </si>
  <si>
    <t>sec/32 sq ft</t>
  </si>
  <si>
    <t>sec / sq ft</t>
  </si>
  <si>
    <t>min / sq ft</t>
  </si>
  <si>
    <t>Hr / sq ft</t>
  </si>
  <si>
    <t>seconds</t>
  </si>
  <si>
    <t>sec/bead</t>
  </si>
  <si>
    <t>4"</t>
  </si>
  <si>
    <t>6"</t>
  </si>
  <si>
    <t>12"</t>
  </si>
  <si>
    <t>Dual Cart</t>
  </si>
  <si>
    <t>PaceCart</t>
  </si>
  <si>
    <t>Patriot Jr</t>
  </si>
  <si>
    <t>Predator Fusion AR5252</t>
  </si>
  <si>
    <t>5 Gallon Dual Jug</t>
  </si>
  <si>
    <t>Total Adhesive Price</t>
  </si>
  <si>
    <t>Dual Cartrigde</t>
  </si>
  <si>
    <t>Total Adhesive Price $</t>
  </si>
  <si>
    <t>Name</t>
  </si>
  <si>
    <t>Cost</t>
  </si>
  <si>
    <t>OC</t>
  </si>
  <si>
    <t>Adh Lkup</t>
  </si>
  <si>
    <t>$/Sf Lkup</t>
  </si>
  <si>
    <t>Adh Vlook</t>
  </si>
  <si>
    <t>$/Sf Vlook</t>
  </si>
  <si>
    <t>Hrs/Sf</t>
  </si>
  <si>
    <t>Total Cost ($'s)</t>
  </si>
  <si>
    <t>ADHESIVES</t>
  </si>
  <si>
    <t>LABOR ESTIMATES</t>
  </si>
  <si>
    <t>Adhesive Count Needed*</t>
  </si>
  <si>
    <t>*Adhesive Count is always rounded up to ensure no shortage</t>
  </si>
  <si>
    <t>Inches On-Center</t>
  </si>
  <si>
    <t>Roof Square Footage</t>
  </si>
  <si>
    <t>Labor Rate ($'s)</t>
  </si>
  <si>
    <t>**Disclaimer: All application rates are approximate to what each dispensing method can perform at. We do not guarantee each customer will have the same results. We recommend that each user figures out their own application rate. This does NOT include time for prepping products for use or included times for setup of products or equipment.</t>
  </si>
  <si>
    <t>Cov Lkup</t>
  </si>
  <si>
    <t>Cov Vlook</t>
  </si>
  <si>
    <t>Manual Price Entry</t>
  </si>
  <si>
    <t xml:space="preserve">Flexible FAST 100 - A </t>
  </si>
  <si>
    <t xml:space="preserve">C, G, S, T </t>
  </si>
  <si>
    <t>50-Gal Drum</t>
  </si>
  <si>
    <t>EA</t>
  </si>
  <si>
    <t>Flexible FAST 100 - B</t>
  </si>
  <si>
    <t>FAST 100-LV - A</t>
  </si>
  <si>
    <t>FAST 100-LV - B</t>
  </si>
  <si>
    <t>C, G, T</t>
  </si>
  <si>
    <t>15-Gal Drum</t>
  </si>
  <si>
    <r>
      <t xml:space="preserve">F A S T DUAL TANK ADHESIVE (PART A) </t>
    </r>
    <r>
      <rPr>
        <b/>
        <sz val="9"/>
        <color rgb="FFFF0000"/>
        <rFont val="Arial"/>
        <family val="2"/>
      </rPr>
      <t>- HAZ</t>
    </r>
  </si>
  <si>
    <t>(includes a 8 nozzle tips, gun, and 25' hose)</t>
  </si>
  <si>
    <t>C, S, T</t>
  </si>
  <si>
    <t>Tank Adhesive</t>
  </si>
  <si>
    <t>Ct</t>
  </si>
  <si>
    <t>F A S T DUAL TANK ADHESIVE (PART B) - HAZ</t>
  </si>
  <si>
    <t>Flexible FAST Dual Tank</t>
  </si>
  <si>
    <t>FAST Bag in a Box (5-gallon jug)</t>
  </si>
  <si>
    <t>Stock</t>
  </si>
  <si>
    <t>Weight/</t>
  </si>
  <si>
    <t>Priced</t>
  </si>
  <si>
    <t>Unit</t>
  </si>
  <si>
    <t>Price/</t>
  </si>
  <si>
    <t>Product</t>
  </si>
  <si>
    <t>Status</t>
  </si>
  <si>
    <t>Packaging</t>
  </si>
  <si>
    <t>Pkg. Unit</t>
  </si>
  <si>
    <t>Per</t>
  </si>
  <si>
    <t>Price</t>
  </si>
  <si>
    <t xml:space="preserve">FAST Bag in a Box - A </t>
  </si>
  <si>
    <t>C, G, S, T</t>
  </si>
  <si>
    <t>5-Gal Box</t>
  </si>
  <si>
    <t>Gal</t>
  </si>
  <si>
    <t xml:space="preserve">FAST Bag in a Box - B </t>
  </si>
  <si>
    <t>Flexible FAST Jug - A</t>
  </si>
  <si>
    <t>Flexible FST Jug – B</t>
  </si>
  <si>
    <t>Full Spray</t>
  </si>
  <si>
    <t>HULK</t>
  </si>
  <si>
    <t>EZY Loader</t>
  </si>
  <si>
    <t>full spray</t>
  </si>
  <si>
    <t>Cov Rate</t>
  </si>
  <si>
    <t>Predator Fusion AR7070</t>
  </si>
  <si>
    <t>Sec/Sq ft * 60</t>
  </si>
  <si>
    <t>'sec/32 sq ft' / 32</t>
  </si>
  <si>
    <t>seconds * sec/bead</t>
  </si>
  <si>
    <t>min/sq ft / 60</t>
  </si>
  <si>
    <t>FULL SPRAY</t>
  </si>
  <si>
    <t>gpm</t>
  </si>
  <si>
    <t>gal sec</t>
  </si>
  <si>
    <t>Rig Type</t>
  </si>
  <si>
    <t>Predator</t>
  </si>
  <si>
    <t>Patriot Jr.</t>
  </si>
  <si>
    <t>Pace Cart</t>
  </si>
  <si>
    <t>EZ Loader</t>
  </si>
  <si>
    <t>Dual Tanks</t>
  </si>
  <si>
    <t>Flex FAST</t>
  </si>
  <si>
    <t>Patriot 55</t>
  </si>
  <si>
    <t>Splatter</t>
  </si>
  <si>
    <t>5 Gal Jug</t>
  </si>
  <si>
    <t>Flex FAST Adhesives Calculator</t>
  </si>
  <si>
    <t>splatter</t>
  </si>
  <si>
    <t>Flexible FAST</t>
  </si>
  <si>
    <t>Predator Fusion</t>
  </si>
  <si>
    <t>Predator (Hulk or VEE 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</si>
</sst>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_);[Red]\(&quot;$&quot;#,##0.00\)"/>
    <numFmt numFmtId="44" formatCode="_(&quot;$&quot;* #,##0.00_);_(&quot;$&quot;* \(#,##0.00\);_(&quot;$&quot;* &quot;-&quot;??_);_(@_)"/>
    <numFmt numFmtId="43" formatCode="_(* #,##0.00_);_(* \(#,##0.00\);_(* &quot;-&quot;??_);_(@_)"/>
    <numFmt numFmtId="164" formatCode="###,###,###"/>
    <numFmt numFmtId="165" formatCode="0.0000"/>
    <numFmt numFmtId="166" formatCode="&quot;$&quot;#,##0.00"/>
    <numFmt numFmtId="167" formatCode="&quot;$&quot;#,##0"/>
    <numFmt numFmtId="168" formatCode="&quot;$&quot;#,##0.000"/>
    <numFmt numFmtId="169" formatCode="#,##0.0000"/>
    <numFmt numFmtId="170" formatCode="_(&quot;$&quot;* #,##0_);_(&quot;$&quot;* \(#,##0\);_(&quot;$&quot;* &quot;-&quot;??_);_(@_)"/>
    <numFmt numFmtId="171" formatCode="_(* #,##0.00000000_);_(* \(#,##0.00000000\);_(* &quot;-&quot;??_);_(@_)"/>
    <numFmt numFmtId="172" formatCode="0.000"/>
    <numFmt numFmtId="173" formatCode="_(* #,##0.0000_);_(* \(#,##0.0000\);_(* &quot;-&quot;??_);_(@_)"/>
    <numFmt numFmtId="174" formatCode="_(* #,##0.000000_);_(* \(#,##0.000000\);_(* &quot;-&quot;??_);_(@_)"/>
    <numFmt numFmtId="175" formatCode="_(* #,##0_);_(* \(#,##0\);_(* &quot;-&quot;??_);_(@_)"/>
    <numFmt numFmtId="176" formatCode="0.000000000"/>
  </numFmts>
  <fonts count="40" x14ac:knownFonts="1">
    <font>
      <sz val="11"/>
      <color theme="1"/>
      <name val="Calibri"/>
      <family val="2"/>
      <scheme val="minor"/>
    </font>
    <font>
      <sz val="11"/>
      <color theme="1"/>
      <name val="Calibri"/>
      <family val="2"/>
      <scheme val="minor"/>
    </font>
    <font>
      <sz val="11"/>
      <color theme="1"/>
      <name val="Calibri"/>
      <family val="2"/>
    </font>
    <font>
      <sz val="11"/>
      <name val="Calibri"/>
      <family val="2"/>
    </font>
    <font>
      <sz val="10"/>
      <color theme="1"/>
      <name val="Calibri"/>
      <family val="2"/>
      <scheme val="minor"/>
    </font>
    <font>
      <sz val="24"/>
      <color theme="0"/>
      <name val="Calibri"/>
      <family val="2"/>
      <scheme val="minor"/>
    </font>
    <font>
      <sz val="10"/>
      <color theme="0"/>
      <name val="Calibri"/>
      <family val="2"/>
      <scheme val="minor"/>
    </font>
    <font>
      <i/>
      <sz val="10"/>
      <color theme="0"/>
      <name val="Calibri"/>
      <family val="2"/>
      <scheme val="minor"/>
    </font>
    <font>
      <i/>
      <sz val="10"/>
      <color rgb="FF003591"/>
      <name val="Calibri"/>
      <family val="2"/>
      <scheme val="minor"/>
    </font>
    <font>
      <sz val="10"/>
      <color rgb="FF003591"/>
      <name val="Calibri"/>
      <family val="2"/>
      <scheme val="minor"/>
    </font>
    <font>
      <b/>
      <sz val="10"/>
      <color rgb="FF003591"/>
      <name val="Calibri"/>
      <family val="2"/>
      <scheme val="minor"/>
    </font>
    <font>
      <b/>
      <sz val="14"/>
      <color rgb="FF003591"/>
      <name val="Calibri"/>
      <family val="2"/>
      <scheme val="minor"/>
    </font>
    <font>
      <sz val="8"/>
      <color rgb="FF003591"/>
      <name val="Arial"/>
      <family val="2"/>
    </font>
    <font>
      <b/>
      <sz val="11"/>
      <color rgb="FF003591"/>
      <name val="Calibri"/>
      <family val="2"/>
      <scheme val="minor"/>
    </font>
    <font>
      <sz val="11"/>
      <color rgb="FF003591"/>
      <name val="Calibri"/>
      <family val="2"/>
      <scheme val="minor"/>
    </font>
    <font>
      <sz val="8"/>
      <color rgb="FF003591"/>
      <name val="Calibri"/>
      <family val="2"/>
      <scheme val="minor"/>
    </font>
    <font>
      <sz val="11"/>
      <color rgb="FFFF0000"/>
      <name val="Calibri"/>
      <family val="2"/>
      <scheme val="minor"/>
    </font>
    <font>
      <sz val="10"/>
      <color theme="1"/>
      <name val="Times New Roman"/>
      <family val="1"/>
    </font>
    <font>
      <sz val="9"/>
      <color rgb="FF000000"/>
      <name val="Arial"/>
      <family val="2"/>
    </font>
    <font>
      <sz val="10"/>
      <color rgb="FF0000FF"/>
      <name val="Arial"/>
      <family val="2"/>
    </font>
    <font>
      <b/>
      <sz val="10"/>
      <color rgb="FF000090"/>
      <name val="Arial"/>
      <family val="2"/>
    </font>
    <font>
      <sz val="9"/>
      <color theme="1"/>
      <name val="Arial"/>
      <family val="2"/>
    </font>
    <font>
      <b/>
      <sz val="9"/>
      <color rgb="FFFF0000"/>
      <name val="Arial"/>
      <family val="2"/>
    </font>
    <font>
      <i/>
      <sz val="8"/>
      <color rgb="FF000000"/>
      <name val="Arial"/>
      <family val="2"/>
    </font>
    <font>
      <u/>
      <sz val="11"/>
      <color theme="10"/>
      <name val="Calibri"/>
      <family val="2"/>
      <scheme val="minor"/>
    </font>
    <font>
      <b/>
      <sz val="14"/>
      <color rgb="FF000000"/>
      <name val="Arial"/>
      <family val="2"/>
    </font>
    <font>
      <sz val="14"/>
      <color rgb="FF000000"/>
      <name val="Arial"/>
      <family val="2"/>
    </font>
    <font>
      <b/>
      <sz val="10"/>
      <color rgb="FF000000"/>
      <name val="Arial"/>
      <family val="2"/>
    </font>
    <font>
      <i/>
      <sz val="25"/>
      <color theme="0"/>
      <name val="Calibri"/>
      <family val="2"/>
      <scheme val="minor"/>
    </font>
    <font>
      <sz val="11"/>
      <color rgb="FFFF0000"/>
      <name val="Calibri"/>
      <family val="2"/>
    </font>
    <font>
      <b/>
      <sz val="8"/>
      <color rgb="FF003591"/>
      <name val="Calibri"/>
      <family val="2"/>
      <scheme val="minor"/>
    </font>
    <font>
      <sz val="9"/>
      <color indexed="81"/>
      <name val="Tahoma"/>
      <family val="2"/>
    </font>
    <font>
      <b/>
      <sz val="9"/>
      <color indexed="81"/>
      <name val="Tahoma"/>
      <family val="2"/>
    </font>
    <font>
      <b/>
      <sz val="13"/>
      <color rgb="FF003591"/>
      <name val="Calibri"/>
      <family val="2"/>
      <scheme val="minor"/>
    </font>
    <font>
      <sz val="11"/>
      <color theme="0"/>
      <name val="Calibri"/>
      <family val="2"/>
      <scheme val="minor"/>
    </font>
    <font>
      <sz val="10"/>
      <color rgb="FFFFFF00"/>
      <name val="Arial"/>
      <family val="2"/>
    </font>
    <font>
      <sz val="10"/>
      <color theme="0"/>
      <name val="Arial"/>
      <family val="2"/>
    </font>
    <font>
      <sz val="9"/>
      <color theme="0"/>
      <name val="Arial"/>
      <family val="2"/>
    </font>
    <font>
      <sz val="11"/>
      <color theme="0"/>
      <name val="Calibri"/>
      <family val="2"/>
    </font>
    <font>
      <b/>
      <sz val="9"/>
      <color theme="0"/>
      <name val="Arial"/>
      <family val="2"/>
    </font>
  </fonts>
  <fills count="1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3591"/>
        <bgColor indexed="64"/>
      </patternFill>
    </fill>
    <fill>
      <patternFill patternType="solid">
        <fgColor rgb="FF99CCFF"/>
        <bgColor indexed="64"/>
      </patternFill>
    </fill>
    <fill>
      <patternFill patternType="solid">
        <fgColor rgb="FFBFBFBF"/>
        <bgColor indexed="64"/>
      </patternFill>
    </fill>
    <fill>
      <patternFill patternType="solid">
        <fgColor theme="1"/>
        <bgColor indexed="64"/>
      </patternFill>
    </fill>
    <fill>
      <patternFill patternType="solid">
        <fgColor theme="0"/>
        <bgColor indexed="64"/>
      </patternFill>
    </fill>
    <fill>
      <patternFill patternType="solid">
        <fgColor rgb="FFD9E1F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rgb="FF003591"/>
      </left>
      <right/>
      <top style="medium">
        <color rgb="FF003591"/>
      </top>
      <bottom/>
      <diagonal/>
    </border>
    <border>
      <left/>
      <right/>
      <top style="medium">
        <color rgb="FF003591"/>
      </top>
      <bottom/>
      <diagonal/>
    </border>
    <border>
      <left/>
      <right style="medium">
        <color rgb="FF003591"/>
      </right>
      <top style="medium">
        <color rgb="FF003591"/>
      </top>
      <bottom/>
      <diagonal/>
    </border>
    <border>
      <left style="medium">
        <color rgb="FF003591"/>
      </left>
      <right/>
      <top/>
      <bottom/>
      <diagonal/>
    </border>
    <border>
      <left/>
      <right style="medium">
        <color rgb="FF003591"/>
      </right>
      <top/>
      <bottom/>
      <diagonal/>
    </border>
    <border>
      <left style="medium">
        <color rgb="FF003591"/>
      </left>
      <right/>
      <top/>
      <bottom style="medium">
        <color rgb="FF003591"/>
      </bottom>
      <diagonal/>
    </border>
    <border>
      <left/>
      <right/>
      <top/>
      <bottom style="medium">
        <color rgb="FF003591"/>
      </bottom>
      <diagonal/>
    </border>
    <border>
      <left/>
      <right style="medium">
        <color rgb="FF003591"/>
      </right>
      <top/>
      <bottom style="medium">
        <color rgb="FF003591"/>
      </bottom>
      <diagonal/>
    </border>
    <border>
      <left style="medium">
        <color rgb="FF003591"/>
      </left>
      <right style="thin">
        <color rgb="FF003591"/>
      </right>
      <top style="medium">
        <color rgb="FF003591"/>
      </top>
      <bottom/>
      <diagonal/>
    </border>
    <border>
      <left style="thin">
        <color rgb="FF003591"/>
      </left>
      <right style="thin">
        <color rgb="FF003591"/>
      </right>
      <top style="medium">
        <color rgb="FF003591"/>
      </top>
      <bottom/>
      <diagonal/>
    </border>
    <border>
      <left style="thin">
        <color rgb="FF003591"/>
      </left>
      <right style="medium">
        <color rgb="FF003591"/>
      </right>
      <top style="medium">
        <color rgb="FF003591"/>
      </top>
      <bottom/>
      <diagonal/>
    </border>
    <border>
      <left style="medium">
        <color rgb="FF003591"/>
      </left>
      <right/>
      <top style="thin">
        <color rgb="FF003591"/>
      </top>
      <bottom style="thin">
        <color rgb="FF003591"/>
      </bottom>
      <diagonal/>
    </border>
    <border>
      <left/>
      <right/>
      <top style="thin">
        <color rgb="FF003591"/>
      </top>
      <bottom style="thin">
        <color rgb="FF003591"/>
      </bottom>
      <diagonal/>
    </border>
    <border>
      <left/>
      <right style="medium">
        <color rgb="FF003591"/>
      </right>
      <top style="thin">
        <color rgb="FF003591"/>
      </top>
      <bottom style="thin">
        <color rgb="FF003591"/>
      </bottom>
      <diagonal/>
    </border>
    <border>
      <left style="medium">
        <color rgb="FF003591"/>
      </left>
      <right style="thin">
        <color rgb="FF003591"/>
      </right>
      <top/>
      <bottom/>
      <diagonal/>
    </border>
    <border>
      <left style="thin">
        <color rgb="FF003591"/>
      </left>
      <right style="thin">
        <color rgb="FF003591"/>
      </right>
      <top/>
      <bottom/>
      <diagonal/>
    </border>
    <border>
      <left style="thin">
        <color rgb="FF003591"/>
      </left>
      <right style="medium">
        <color rgb="FF003591"/>
      </right>
      <top/>
      <bottom/>
      <diagonal/>
    </border>
    <border>
      <left style="medium">
        <color rgb="FF003591"/>
      </left>
      <right style="thin">
        <color rgb="FF003591"/>
      </right>
      <top/>
      <bottom style="medium">
        <color rgb="FF003591"/>
      </bottom>
      <diagonal/>
    </border>
    <border>
      <left style="thin">
        <color rgb="FF003591"/>
      </left>
      <right style="thin">
        <color rgb="FF003591"/>
      </right>
      <top/>
      <bottom style="medium">
        <color rgb="FF003591"/>
      </bottom>
      <diagonal/>
    </border>
    <border>
      <left style="thin">
        <color rgb="FF003591"/>
      </left>
      <right style="medium">
        <color rgb="FF003591"/>
      </right>
      <top/>
      <bottom style="medium">
        <color rgb="FF003591"/>
      </bottom>
      <diagonal/>
    </border>
    <border>
      <left style="medium">
        <color rgb="FF003591"/>
      </left>
      <right style="thin">
        <color rgb="FF003591"/>
      </right>
      <top style="thin">
        <color rgb="FF003591"/>
      </top>
      <bottom style="thin">
        <color rgb="FF003591"/>
      </bottom>
      <diagonal/>
    </border>
    <border>
      <left style="thin">
        <color rgb="FF003591"/>
      </left>
      <right style="thin">
        <color rgb="FF003591"/>
      </right>
      <top style="thin">
        <color rgb="FF003591"/>
      </top>
      <bottom style="thin">
        <color rgb="FF003591"/>
      </bottom>
      <diagonal/>
    </border>
    <border>
      <left style="thin">
        <color rgb="FF003591"/>
      </left>
      <right style="medium">
        <color rgb="FF003591"/>
      </right>
      <top style="thin">
        <color rgb="FF003591"/>
      </top>
      <bottom style="thin">
        <color rgb="FF003591"/>
      </bottom>
      <diagonal/>
    </border>
    <border>
      <left style="thin">
        <color rgb="FF003591"/>
      </left>
      <right style="medium">
        <color rgb="FF003591"/>
      </right>
      <top style="thin">
        <color rgb="FF003591"/>
      </top>
      <bottom style="medium">
        <color rgb="FF003591"/>
      </bottom>
      <diagonal/>
    </border>
    <border>
      <left style="thin">
        <color rgb="FF003591"/>
      </left>
      <right style="thin">
        <color rgb="FF003591"/>
      </right>
      <top style="thin">
        <color rgb="FF003591"/>
      </top>
      <bottom style="medium">
        <color rgb="FF003591"/>
      </bottom>
      <diagonal/>
    </border>
    <border>
      <left style="medium">
        <color rgb="FF003591"/>
      </left>
      <right style="thin">
        <color rgb="FF003591"/>
      </right>
      <top style="medium">
        <color rgb="FF003591"/>
      </top>
      <bottom style="thin">
        <color rgb="FF003591"/>
      </bottom>
      <diagonal/>
    </border>
    <border>
      <left style="thin">
        <color rgb="FF003591"/>
      </left>
      <right style="thin">
        <color rgb="FF003591"/>
      </right>
      <top style="medium">
        <color rgb="FF003591"/>
      </top>
      <bottom style="thin">
        <color rgb="FF003591"/>
      </bottom>
      <diagonal/>
    </border>
    <border>
      <left style="thin">
        <color rgb="FF003591"/>
      </left>
      <right style="medium">
        <color rgb="FF003591"/>
      </right>
      <top style="medium">
        <color rgb="FF003591"/>
      </top>
      <bottom style="thin">
        <color rgb="FF003591"/>
      </bottom>
      <diagonal/>
    </border>
    <border>
      <left style="medium">
        <color rgb="FF003591"/>
      </left>
      <right style="thin">
        <color rgb="FF003591"/>
      </right>
      <top style="thin">
        <color rgb="FF003591"/>
      </top>
      <bottom style="medium">
        <color rgb="FF00359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style="thin">
        <color rgb="FF002060"/>
      </right>
      <top style="medium">
        <color rgb="FF002060"/>
      </top>
      <bottom style="thin">
        <color rgb="FF002060"/>
      </bottom>
      <diagonal/>
    </border>
    <border>
      <left/>
      <right style="medium">
        <color rgb="FF002060"/>
      </right>
      <top style="medium">
        <color rgb="FF002060"/>
      </top>
      <bottom style="thin">
        <color rgb="FF002060"/>
      </bottom>
      <diagonal/>
    </border>
    <border>
      <left style="medium">
        <color rgb="FF002060"/>
      </left>
      <right style="thin">
        <color rgb="FF002060"/>
      </right>
      <top/>
      <bottom/>
      <diagonal/>
    </border>
    <border>
      <left/>
      <right style="medium">
        <color rgb="FF002060"/>
      </right>
      <top/>
      <bottom/>
      <diagonal/>
    </border>
    <border>
      <left style="medium">
        <color rgb="FF002060"/>
      </left>
      <right style="thin">
        <color rgb="FF002060"/>
      </right>
      <top style="thin">
        <color rgb="FF002060"/>
      </top>
      <bottom style="thin">
        <color rgb="FF002060"/>
      </bottom>
      <diagonal/>
    </border>
    <border>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right style="medium">
        <color rgb="FF002060"/>
      </right>
      <top style="thin">
        <color rgb="FF002060"/>
      </top>
      <bottom style="medium">
        <color rgb="FF00206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3591"/>
      </left>
      <right style="thin">
        <color rgb="FF003591"/>
      </right>
      <top style="thin">
        <color rgb="FF003591"/>
      </top>
      <bottom/>
      <diagonal/>
    </border>
    <border>
      <left style="thin">
        <color rgb="FF003591"/>
      </left>
      <right style="medium">
        <color rgb="FF003591"/>
      </right>
      <top style="thin">
        <color rgb="FF003591"/>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cellStyleXfs>
  <cellXfs count="308">
    <xf numFmtId="0" fontId="0" fillId="0" borderId="0" xfId="0"/>
    <xf numFmtId="0" fontId="0" fillId="3" borderId="0" xfId="0" applyFill="1"/>
    <xf numFmtId="0" fontId="0" fillId="0" borderId="1" xfId="0" applyBorder="1"/>
    <xf numFmtId="0" fontId="0" fillId="0" borderId="2" xfId="0" applyBorder="1"/>
    <xf numFmtId="0" fontId="0" fillId="0" borderId="4" xfId="0" applyBorder="1"/>
    <xf numFmtId="0" fontId="0" fillId="0" borderId="0" xfId="0" applyAlignment="1">
      <alignment horizontal="center"/>
    </xf>
    <xf numFmtId="0" fontId="0" fillId="2" borderId="1" xfId="0" applyFill="1" applyBorder="1"/>
    <xf numFmtId="0" fontId="0" fillId="4" borderId="1" xfId="0" applyFill="1" applyBorder="1"/>
    <xf numFmtId="164" fontId="0" fillId="0" borderId="0" xfId="0" applyNumberFormat="1"/>
    <xf numFmtId="44" fontId="0" fillId="0" borderId="0" xfId="1" applyFont="1" applyFill="1"/>
    <xf numFmtId="0" fontId="0" fillId="4" borderId="2" xfId="0" applyFill="1" applyBorder="1" applyAlignment="1">
      <alignment horizontal="center"/>
    </xf>
    <xf numFmtId="44" fontId="0" fillId="4" borderId="2" xfId="0" applyNumberFormat="1" applyFill="1" applyBorder="1"/>
    <xf numFmtId="0" fontId="0" fillId="4" borderId="3" xfId="0" applyFill="1" applyBorder="1" applyAlignment="1">
      <alignment horizontal="center"/>
    </xf>
    <xf numFmtId="44" fontId="0" fillId="4" borderId="1" xfId="0" applyNumberFormat="1" applyFill="1" applyBorder="1"/>
    <xf numFmtId="0" fontId="0" fillId="4" borderId="1" xfId="0" applyFill="1" applyBorder="1" applyAlignment="1">
      <alignment horizontal="center"/>
    </xf>
    <xf numFmtId="44" fontId="0" fillId="0" borderId="2" xfId="0" applyNumberFormat="1" applyBorder="1"/>
    <xf numFmtId="44" fontId="0" fillId="0" borderId="1" xfId="1" applyFont="1" applyFill="1" applyBorder="1"/>
    <xf numFmtId="44" fontId="0" fillId="0" borderId="1" xfId="0" applyNumberFormat="1" applyBorder="1"/>
    <xf numFmtId="164" fontId="0" fillId="3" borderId="0" xfId="0" applyNumberFormat="1" applyFill="1" applyProtection="1">
      <protection locked="0"/>
    </xf>
    <xf numFmtId="44" fontId="0" fillId="2" borderId="0" xfId="1" applyFont="1" applyFill="1" applyProtection="1">
      <protection locked="0"/>
    </xf>
    <xf numFmtId="44" fontId="0" fillId="5" borderId="0" xfId="1" applyFont="1" applyFill="1" applyProtection="1">
      <protection locked="0"/>
    </xf>
    <xf numFmtId="0" fontId="0" fillId="0" borderId="4" xfId="0" applyBorder="1" applyAlignment="1">
      <alignment horizontal="center"/>
    </xf>
    <xf numFmtId="0" fontId="2" fillId="0" borderId="4" xfId="0" applyFont="1" applyBorder="1" applyAlignment="1">
      <alignment horizontal="center"/>
    </xf>
    <xf numFmtId="0" fontId="0" fillId="0" borderId="8" xfId="0" applyBorder="1"/>
    <xf numFmtId="0" fontId="0" fillId="2" borderId="8" xfId="0" applyFill="1" applyBorder="1"/>
    <xf numFmtId="0" fontId="0" fillId="0" borderId="3" xfId="0" applyBorder="1" applyAlignment="1">
      <alignment horizontal="center"/>
    </xf>
    <xf numFmtId="0" fontId="2" fillId="0" borderId="1" xfId="0" applyFont="1" applyBorder="1" applyAlignment="1">
      <alignment horizontal="center"/>
    </xf>
    <xf numFmtId="0" fontId="0" fillId="0" borderId="8" xfId="0" applyBorder="1" applyAlignment="1">
      <alignment horizontal="center"/>
    </xf>
    <xf numFmtId="0" fontId="2" fillId="0" borderId="5" xfId="0" applyFont="1" applyBorder="1" applyAlignment="1">
      <alignment horizontal="center"/>
    </xf>
    <xf numFmtId="0" fontId="3" fillId="2" borderId="3" xfId="0" applyFont="1" applyFill="1" applyBorder="1" applyAlignment="1">
      <alignment horizontal="center"/>
    </xf>
    <xf numFmtId="0" fontId="3" fillId="2" borderId="2" xfId="0" applyFont="1" applyFill="1" applyBorder="1" applyAlignment="1">
      <alignment horizontal="center"/>
    </xf>
    <xf numFmtId="0" fontId="0" fillId="0" borderId="10" xfId="0" applyBorder="1" applyAlignment="1">
      <alignment horizontal="center"/>
    </xf>
    <xf numFmtId="165" fontId="0" fillId="0" borderId="9" xfId="0" applyNumberFormat="1" applyBorder="1" applyAlignment="1">
      <alignment horizontal="center"/>
    </xf>
    <xf numFmtId="165" fontId="0" fillId="0" borderId="0" xfId="0" applyNumberFormat="1" applyAlignment="1">
      <alignment horizontal="center"/>
    </xf>
    <xf numFmtId="165" fontId="0" fillId="0" borderId="8" xfId="0" applyNumberFormat="1" applyBorder="1" applyAlignment="1">
      <alignment horizontal="center"/>
    </xf>
    <xf numFmtId="0" fontId="2" fillId="4" borderId="8" xfId="0" applyFont="1" applyFill="1" applyBorder="1" applyAlignment="1">
      <alignment horizontal="center"/>
    </xf>
    <xf numFmtId="0" fontId="2" fillId="4" borderId="0" xfId="0" applyFont="1" applyFill="1" applyAlignment="1">
      <alignment horizontal="center"/>
    </xf>
    <xf numFmtId="165" fontId="0" fillId="4" borderId="9" xfId="0" applyNumberFormat="1" applyFill="1" applyBorder="1" applyAlignment="1">
      <alignment horizontal="center"/>
    </xf>
    <xf numFmtId="165" fontId="0" fillId="4" borderId="0" xfId="0" applyNumberFormat="1" applyFill="1" applyAlignment="1">
      <alignment horizontal="center"/>
    </xf>
    <xf numFmtId="165" fontId="0" fillId="4" borderId="8" xfId="0" applyNumberFormat="1" applyFill="1" applyBorder="1" applyAlignment="1">
      <alignment horizontal="center"/>
    </xf>
    <xf numFmtId="44" fontId="0" fillId="0" borderId="0" xfId="1" applyFont="1" applyFill="1" applyProtection="1">
      <protection locked="0"/>
    </xf>
    <xf numFmtId="0" fontId="2" fillId="0" borderId="0" xfId="0" applyFont="1"/>
    <xf numFmtId="0" fontId="2" fillId="0" borderId="8" xfId="0" applyFont="1" applyBorder="1"/>
    <xf numFmtId="0" fontId="2" fillId="0" borderId="12" xfId="0" applyFont="1" applyBorder="1"/>
    <xf numFmtId="0" fontId="2" fillId="0" borderId="4" xfId="0" applyFont="1" applyBorder="1"/>
    <xf numFmtId="0" fontId="2" fillId="0" borderId="3" xfId="0" applyFont="1" applyBorder="1"/>
    <xf numFmtId="0" fontId="2" fillId="0" borderId="3" xfId="0" applyFont="1" applyBorder="1" applyAlignment="1">
      <alignment horizontal="center"/>
    </xf>
    <xf numFmtId="0" fontId="4" fillId="0" borderId="0" xfId="0" applyFont="1"/>
    <xf numFmtId="43" fontId="0" fillId="4" borderId="2" xfId="2" applyFont="1" applyFill="1" applyBorder="1"/>
    <xf numFmtId="43" fontId="0" fillId="0" borderId="2" xfId="2" applyFont="1" applyFill="1" applyBorder="1"/>
    <xf numFmtId="0" fontId="4" fillId="0" borderId="0" xfId="0" applyFont="1" applyAlignment="1">
      <alignment vertical="center" wrapText="1"/>
    </xf>
    <xf numFmtId="0" fontId="5" fillId="10" borderId="13" xfId="0" applyFont="1" applyFill="1" applyBorder="1"/>
    <xf numFmtId="0" fontId="6" fillId="10" borderId="14" xfId="0" applyFont="1" applyFill="1" applyBorder="1" applyAlignment="1">
      <alignment horizontal="centerContinuous"/>
    </xf>
    <xf numFmtId="0" fontId="9" fillId="0" borderId="0" xfId="0" applyFont="1"/>
    <xf numFmtId="0" fontId="9" fillId="0" borderId="17" xfId="0" applyFont="1" applyBorder="1"/>
    <xf numFmtId="0" fontId="9" fillId="0" borderId="16" xfId="0" applyFont="1" applyBorder="1"/>
    <xf numFmtId="0" fontId="9" fillId="0" borderId="0" xfId="0" applyFont="1" applyAlignment="1">
      <alignment horizontal="right"/>
    </xf>
    <xf numFmtId="0" fontId="9" fillId="0" borderId="0" xfId="0" applyFont="1" applyAlignment="1">
      <alignment horizontal="center"/>
    </xf>
    <xf numFmtId="0" fontId="9" fillId="0" borderId="17" xfId="0" applyFont="1" applyBorder="1" applyAlignment="1">
      <alignment horizontal="center"/>
    </xf>
    <xf numFmtId="169" fontId="9" fillId="0" borderId="0" xfId="2" applyNumberFormat="1" applyFont="1" applyBorder="1" applyAlignment="1">
      <alignment horizontal="center"/>
    </xf>
    <xf numFmtId="169" fontId="9" fillId="0" borderId="17" xfId="2" applyNumberFormat="1" applyFont="1" applyBorder="1" applyAlignment="1">
      <alignment horizontal="center"/>
    </xf>
    <xf numFmtId="38" fontId="9" fillId="0" borderId="24" xfId="0" applyNumberFormat="1" applyFont="1" applyBorder="1" applyAlignment="1">
      <alignment horizontal="center"/>
    </xf>
    <xf numFmtId="38" fontId="9" fillId="0" borderId="25" xfId="0" applyNumberFormat="1" applyFont="1" applyBorder="1" applyAlignment="1">
      <alignment horizontal="center"/>
    </xf>
    <xf numFmtId="38" fontId="9" fillId="0" borderId="26" xfId="0" applyNumberFormat="1" applyFont="1" applyBorder="1" applyAlignment="1">
      <alignment horizontal="center"/>
    </xf>
    <xf numFmtId="168" fontId="9" fillId="0" borderId="24" xfId="1" applyNumberFormat="1" applyFont="1" applyBorder="1" applyAlignment="1">
      <alignment horizontal="center"/>
    </xf>
    <xf numFmtId="168" fontId="9" fillId="0" borderId="25" xfId="1" applyNumberFormat="1" applyFont="1" applyBorder="1" applyAlignment="1">
      <alignment horizontal="center"/>
    </xf>
    <xf numFmtId="168" fontId="9" fillId="0" borderId="26" xfId="1" applyNumberFormat="1" applyFont="1" applyBorder="1" applyAlignment="1">
      <alignment horizontal="center"/>
    </xf>
    <xf numFmtId="0" fontId="9" fillId="0" borderId="33" xfId="0" applyFont="1" applyBorder="1" applyAlignment="1">
      <alignment horizontal="center"/>
    </xf>
    <xf numFmtId="167" fontId="9" fillId="0" borderId="34" xfId="0" applyNumberFormat="1" applyFont="1" applyBorder="1" applyAlignment="1">
      <alignment horizontal="center"/>
    </xf>
    <xf numFmtId="167" fontId="9" fillId="0" borderId="35" xfId="0" applyNumberFormat="1" applyFont="1" applyBorder="1" applyAlignment="1">
      <alignment horizontal="center"/>
    </xf>
    <xf numFmtId="0" fontId="12" fillId="0" borderId="0" xfId="0" applyFont="1"/>
    <xf numFmtId="170" fontId="0" fillId="4" borderId="1" xfId="0" applyNumberFormat="1" applyFill="1" applyBorder="1" applyAlignment="1">
      <alignment horizontal="center"/>
    </xf>
    <xf numFmtId="170" fontId="0" fillId="0" borderId="1" xfId="0" applyNumberFormat="1" applyBorder="1" applyAlignment="1">
      <alignment horizontal="center"/>
    </xf>
    <xf numFmtId="170" fontId="0" fillId="4" borderId="1" xfId="0" applyNumberFormat="1" applyFill="1" applyBorder="1"/>
    <xf numFmtId="170" fontId="0" fillId="0" borderId="1" xfId="0" applyNumberFormat="1" applyBorder="1"/>
    <xf numFmtId="0" fontId="9" fillId="9" borderId="38" xfId="0" applyFont="1" applyFill="1" applyBorder="1" applyAlignment="1">
      <alignment horizontal="center"/>
    </xf>
    <xf numFmtId="167" fontId="9" fillId="9" borderId="39" xfId="0" applyNumberFormat="1" applyFont="1" applyFill="1" applyBorder="1" applyAlignment="1">
      <alignment horizontal="center"/>
    </xf>
    <xf numFmtId="167" fontId="9" fillId="9" borderId="40" xfId="0" applyNumberFormat="1" applyFont="1" applyFill="1" applyBorder="1" applyAlignment="1">
      <alignment horizontal="center"/>
    </xf>
    <xf numFmtId="0" fontId="9" fillId="9" borderId="33" xfId="0" applyFont="1" applyFill="1" applyBorder="1" applyAlignment="1">
      <alignment horizontal="center"/>
    </xf>
    <xf numFmtId="167" fontId="9" fillId="9" borderId="34" xfId="0" applyNumberFormat="1" applyFont="1" applyFill="1" applyBorder="1" applyAlignment="1">
      <alignment horizontal="center"/>
    </xf>
    <xf numFmtId="167" fontId="9" fillId="9" borderId="35" xfId="0" applyNumberFormat="1" applyFont="1" applyFill="1" applyBorder="1" applyAlignment="1">
      <alignment horizontal="center"/>
    </xf>
    <xf numFmtId="0" fontId="9" fillId="9" borderId="41" xfId="0" applyFont="1" applyFill="1" applyBorder="1" applyAlignment="1">
      <alignment horizontal="center"/>
    </xf>
    <xf numFmtId="167" fontId="9" fillId="9" borderId="37" xfId="0" applyNumberFormat="1" applyFont="1" applyFill="1" applyBorder="1" applyAlignment="1">
      <alignment horizontal="center"/>
    </xf>
    <xf numFmtId="167" fontId="9" fillId="9" borderId="36" xfId="0" applyNumberFormat="1" applyFont="1" applyFill="1" applyBorder="1" applyAlignment="1">
      <alignment horizontal="center"/>
    </xf>
    <xf numFmtId="0" fontId="9" fillId="9" borderId="21" xfId="0" applyFont="1" applyFill="1" applyBorder="1" applyAlignment="1">
      <alignment horizontal="center"/>
    </xf>
    <xf numFmtId="38" fontId="9" fillId="9" borderId="22" xfId="0" applyNumberFormat="1" applyFont="1" applyFill="1" applyBorder="1" applyAlignment="1">
      <alignment horizontal="center"/>
    </xf>
    <xf numFmtId="38" fontId="9" fillId="9" borderId="23" xfId="0" applyNumberFormat="1" applyFont="1" applyFill="1" applyBorder="1" applyAlignment="1">
      <alignment horizontal="center"/>
    </xf>
    <xf numFmtId="0" fontId="9" fillId="9" borderId="27" xfId="0" applyFont="1" applyFill="1" applyBorder="1" applyAlignment="1">
      <alignment horizontal="center" wrapText="1"/>
    </xf>
    <xf numFmtId="168" fontId="9" fillId="9" borderId="28" xfId="1" applyNumberFormat="1" applyFont="1" applyFill="1" applyBorder="1" applyAlignment="1">
      <alignment horizontal="center"/>
    </xf>
    <xf numFmtId="168" fontId="9" fillId="9" borderId="29" xfId="1" applyNumberFormat="1" applyFont="1" applyFill="1" applyBorder="1" applyAlignment="1">
      <alignment horizontal="center"/>
    </xf>
    <xf numFmtId="0" fontId="9" fillId="9" borderId="30" xfId="0" applyFont="1" applyFill="1" applyBorder="1" applyAlignment="1">
      <alignment horizontal="center" wrapText="1"/>
    </xf>
    <xf numFmtId="167" fontId="9" fillId="9" borderId="31" xfId="0" applyNumberFormat="1" applyFont="1" applyFill="1" applyBorder="1" applyAlignment="1">
      <alignment horizontal="center"/>
    </xf>
    <xf numFmtId="167" fontId="9" fillId="9" borderId="32" xfId="0" applyNumberFormat="1" applyFont="1" applyFill="1" applyBorder="1" applyAlignment="1">
      <alignment horizontal="center"/>
    </xf>
    <xf numFmtId="0" fontId="4" fillId="0" borderId="0" xfId="0" applyFont="1" applyAlignment="1">
      <alignment horizontal="center"/>
    </xf>
    <xf numFmtId="167" fontId="4" fillId="0" borderId="0" xfId="0" applyNumberFormat="1" applyFont="1" applyAlignment="1">
      <alignment horizontal="center"/>
    </xf>
    <xf numFmtId="0" fontId="15" fillId="0" borderId="0" xfId="0" applyFont="1" applyAlignment="1">
      <alignment horizontal="center"/>
    </xf>
    <xf numFmtId="0" fontId="4" fillId="0" borderId="17" xfId="0" applyFont="1" applyBorder="1"/>
    <xf numFmtId="0" fontId="18" fillId="0" borderId="43" xfId="0" applyFont="1" applyBorder="1" applyAlignment="1">
      <alignment horizontal="center" vertical="center"/>
    </xf>
    <xf numFmtId="0" fontId="20" fillId="0" borderId="43" xfId="0" applyFont="1" applyBorder="1" applyAlignment="1">
      <alignment horizontal="center" vertical="center"/>
    </xf>
    <xf numFmtId="0" fontId="24" fillId="0" borderId="46" xfId="3" applyBorder="1" applyAlignment="1">
      <alignment vertical="center"/>
    </xf>
    <xf numFmtId="0" fontId="18" fillId="0" borderId="46" xfId="0" applyFont="1" applyBorder="1" applyAlignment="1">
      <alignment vertical="center"/>
    </xf>
    <xf numFmtId="0" fontId="18" fillId="0" borderId="0" xfId="0" applyFont="1" applyAlignment="1">
      <alignment vertical="center" wrapText="1"/>
    </xf>
    <xf numFmtId="0" fontId="23" fillId="0" borderId="0" xfId="0" applyFont="1" applyAlignment="1">
      <alignment vertical="center" wrapText="1"/>
    </xf>
    <xf numFmtId="0" fontId="18" fillId="0" borderId="48" xfId="0" applyFont="1" applyBorder="1" applyAlignment="1">
      <alignment horizontal="center" vertical="center"/>
    </xf>
    <xf numFmtId="0" fontId="24" fillId="0" borderId="49" xfId="3" applyBorder="1" applyAlignment="1">
      <alignment vertical="center"/>
    </xf>
    <xf numFmtId="0" fontId="21" fillId="0" borderId="49" xfId="0" applyFont="1" applyBorder="1" applyAlignment="1">
      <alignment horizontal="center" vertical="center"/>
    </xf>
    <xf numFmtId="0" fontId="18" fillId="0" borderId="49" xfId="0" applyFont="1" applyBorder="1" applyAlignment="1">
      <alignment horizontal="center" vertical="center"/>
    </xf>
    <xf numFmtId="0" fontId="20" fillId="0" borderId="49" xfId="0" applyFont="1" applyBorder="1" applyAlignment="1">
      <alignment horizontal="center" vertical="center"/>
    </xf>
    <xf numFmtId="0" fontId="17" fillId="0" borderId="48" xfId="0" applyFont="1" applyBorder="1"/>
    <xf numFmtId="0" fontId="18" fillId="0" borderId="49" xfId="0" applyFont="1" applyBorder="1" applyAlignment="1">
      <alignment vertical="center"/>
    </xf>
    <xf numFmtId="0" fontId="18" fillId="0" borderId="49" xfId="0" applyFont="1" applyBorder="1" applyAlignment="1">
      <alignment vertical="center" wrapText="1"/>
    </xf>
    <xf numFmtId="0" fontId="21" fillId="0" borderId="43" xfId="0" applyFont="1" applyBorder="1" applyAlignment="1">
      <alignment horizontal="center" vertical="center"/>
    </xf>
    <xf numFmtId="0" fontId="18" fillId="3" borderId="42" xfId="0" applyFont="1" applyFill="1" applyBorder="1" applyAlignment="1">
      <alignment horizontal="center" vertical="center"/>
    </xf>
    <xf numFmtId="0" fontId="24" fillId="3" borderId="43" xfId="3" applyFill="1" applyBorder="1" applyAlignment="1">
      <alignment vertical="center"/>
    </xf>
    <xf numFmtId="0" fontId="18" fillId="3" borderId="43" xfId="0" applyFont="1" applyFill="1" applyBorder="1" applyAlignment="1">
      <alignment horizontal="center" vertical="center"/>
    </xf>
    <xf numFmtId="0" fontId="20" fillId="3" borderId="43" xfId="0" applyFont="1" applyFill="1" applyBorder="1" applyAlignment="1">
      <alignment horizontal="center" vertical="center"/>
    </xf>
    <xf numFmtId="0" fontId="18" fillId="3" borderId="45" xfId="0" applyFont="1" applyFill="1" applyBorder="1" applyAlignment="1">
      <alignment horizontal="center" vertical="center"/>
    </xf>
    <xf numFmtId="0" fontId="24" fillId="3" borderId="46" xfId="3" applyFill="1" applyBorder="1" applyAlignment="1">
      <alignment vertical="center"/>
    </xf>
    <xf numFmtId="0" fontId="18" fillId="3" borderId="46" xfId="0" applyFont="1" applyFill="1" applyBorder="1" applyAlignment="1">
      <alignment horizontal="center" vertical="center"/>
    </xf>
    <xf numFmtId="0" fontId="20" fillId="3" borderId="46" xfId="0" applyFont="1" applyFill="1" applyBorder="1" applyAlignment="1">
      <alignment horizontal="center" vertical="center"/>
    </xf>
    <xf numFmtId="0" fontId="18" fillId="3" borderId="46" xfId="0" applyFont="1" applyFill="1" applyBorder="1" applyAlignment="1">
      <alignment vertical="center"/>
    </xf>
    <xf numFmtId="0" fontId="21" fillId="3" borderId="46" xfId="0" applyFont="1" applyFill="1" applyBorder="1" applyAlignment="1">
      <alignment horizontal="center" vertical="center"/>
    </xf>
    <xf numFmtId="0" fontId="26" fillId="11" borderId="43" xfId="0" applyFont="1" applyFill="1" applyBorder="1" applyAlignment="1">
      <alignment horizontal="center" vertical="center"/>
    </xf>
    <xf numFmtId="0" fontId="27" fillId="0" borderId="0" xfId="0" applyFont="1" applyAlignment="1">
      <alignment horizontal="center" vertical="center"/>
    </xf>
    <xf numFmtId="0" fontId="2" fillId="0" borderId="0" xfId="0" applyFont="1" applyAlignment="1">
      <alignment vertical="center" wrapText="1"/>
    </xf>
    <xf numFmtId="0" fontId="27" fillId="0" borderId="46" xfId="0" applyFont="1" applyBorder="1" applyAlignment="1">
      <alignment horizontal="center" vertical="center"/>
    </xf>
    <xf numFmtId="0" fontId="19" fillId="0" borderId="46" xfId="0" applyFont="1" applyBorder="1" applyAlignment="1">
      <alignment vertical="center" wrapText="1"/>
    </xf>
    <xf numFmtId="0" fontId="24" fillId="0" borderId="46" xfId="3" applyBorder="1" applyAlignment="1">
      <alignment vertical="center" wrapText="1"/>
    </xf>
    <xf numFmtId="0" fontId="16" fillId="2" borderId="8" xfId="0" applyFont="1" applyFill="1" applyBorder="1"/>
    <xf numFmtId="0" fontId="29" fillId="4" borderId="8" xfId="0" applyFont="1" applyFill="1" applyBorder="1" applyAlignment="1">
      <alignment horizontal="center"/>
    </xf>
    <xf numFmtId="0" fontId="29" fillId="4" borderId="0" xfId="0" applyFont="1" applyFill="1" applyAlignment="1">
      <alignment horizontal="center"/>
    </xf>
    <xf numFmtId="0" fontId="16" fillId="4" borderId="0" xfId="0" applyFont="1" applyFill="1" applyAlignment="1">
      <alignment horizontal="center"/>
    </xf>
    <xf numFmtId="0" fontId="16" fillId="4" borderId="8" xfId="0" applyFont="1" applyFill="1" applyBorder="1" applyAlignment="1">
      <alignment horizontal="center"/>
    </xf>
    <xf numFmtId="165" fontId="16" fillId="4" borderId="9" xfId="0" applyNumberFormat="1" applyFont="1" applyFill="1" applyBorder="1" applyAlignment="1">
      <alignment horizontal="center"/>
    </xf>
    <xf numFmtId="165" fontId="16" fillId="4" borderId="0" xfId="0" applyNumberFormat="1" applyFont="1" applyFill="1" applyAlignment="1">
      <alignment horizontal="center"/>
    </xf>
    <xf numFmtId="165" fontId="16" fillId="4" borderId="8" xfId="0" applyNumberFormat="1" applyFont="1" applyFill="1" applyBorder="1" applyAlignment="1">
      <alignment horizontal="center"/>
    </xf>
    <xf numFmtId="0" fontId="16" fillId="0" borderId="8" xfId="0" applyFont="1" applyBorder="1" applyAlignment="1">
      <alignment horizontal="center"/>
    </xf>
    <xf numFmtId="0" fontId="16" fillId="0" borderId="0" xfId="0" applyFont="1" applyAlignment="1">
      <alignment horizontal="center"/>
    </xf>
    <xf numFmtId="165" fontId="16" fillId="0" borderId="9" xfId="0" applyNumberFormat="1" applyFont="1" applyBorder="1" applyAlignment="1">
      <alignment horizontal="center"/>
    </xf>
    <xf numFmtId="165" fontId="16" fillId="0" borderId="0" xfId="0" applyNumberFormat="1" applyFont="1" applyAlignment="1">
      <alignment horizontal="center"/>
    </xf>
    <xf numFmtId="165" fontId="16" fillId="0" borderId="8" xfId="0" applyNumberFormat="1" applyFont="1" applyBorder="1" applyAlignment="1">
      <alignment horizontal="center"/>
    </xf>
    <xf numFmtId="171" fontId="0" fillId="0" borderId="0" xfId="2" applyNumberFormat="1" applyFont="1"/>
    <xf numFmtId="171" fontId="0" fillId="4" borderId="0" xfId="2" applyNumberFormat="1" applyFont="1" applyFill="1"/>
    <xf numFmtId="171" fontId="16" fillId="4" borderId="0" xfId="2" applyNumberFormat="1" applyFont="1" applyFill="1"/>
    <xf numFmtId="171" fontId="16" fillId="0" borderId="0" xfId="2" applyNumberFormat="1" applyFont="1"/>
    <xf numFmtId="172" fontId="0" fillId="0" borderId="0" xfId="0" applyNumberFormat="1" applyAlignment="1">
      <alignment horizontal="center"/>
    </xf>
    <xf numFmtId="172" fontId="0" fillId="0" borderId="8" xfId="0" applyNumberFormat="1" applyBorder="1" applyAlignment="1">
      <alignment horizontal="center"/>
    </xf>
    <xf numFmtId="172" fontId="0" fillId="4" borderId="0" xfId="0" applyNumberFormat="1" applyFill="1" applyAlignment="1">
      <alignment horizontal="center"/>
    </xf>
    <xf numFmtId="172" fontId="0" fillId="4" borderId="8" xfId="0" applyNumberFormat="1" applyFill="1" applyBorder="1" applyAlignment="1">
      <alignment horizontal="center"/>
    </xf>
    <xf numFmtId="172" fontId="16" fillId="4" borderId="0" xfId="0" applyNumberFormat="1" applyFont="1" applyFill="1" applyAlignment="1">
      <alignment horizontal="center"/>
    </xf>
    <xf numFmtId="172" fontId="16" fillId="4" borderId="8" xfId="0" applyNumberFormat="1" applyFont="1" applyFill="1" applyBorder="1" applyAlignment="1">
      <alignment horizontal="center"/>
    </xf>
    <xf numFmtId="172" fontId="16" fillId="0" borderId="0" xfId="0" applyNumberFormat="1" applyFont="1" applyAlignment="1">
      <alignment horizontal="center"/>
    </xf>
    <xf numFmtId="172" fontId="16" fillId="0" borderId="8" xfId="0" applyNumberFormat="1" applyFont="1" applyBorder="1" applyAlignment="1">
      <alignment horizontal="center"/>
    </xf>
    <xf numFmtId="0" fontId="11" fillId="0" borderId="16" xfId="0" applyFont="1" applyBorder="1" applyAlignment="1">
      <alignment horizontal="center" vertical="center"/>
    </xf>
    <xf numFmtId="0" fontId="11" fillId="0" borderId="0" xfId="0" applyFont="1" applyAlignment="1">
      <alignment horizontal="center" vertical="center"/>
    </xf>
    <xf numFmtId="173" fontId="0" fillId="0" borderId="0" xfId="2" applyNumberFormat="1" applyFont="1"/>
    <xf numFmtId="174" fontId="0" fillId="0" borderId="1" xfId="2" applyNumberFormat="1" applyFont="1" applyBorder="1"/>
    <xf numFmtId="175" fontId="0" fillId="0" borderId="1" xfId="2" applyNumberFormat="1" applyFont="1" applyBorder="1"/>
    <xf numFmtId="175" fontId="0" fillId="4" borderId="1" xfId="2" applyNumberFormat="1" applyFont="1" applyFill="1" applyBorder="1"/>
    <xf numFmtId="175" fontId="0" fillId="0" borderId="0" xfId="2" applyNumberFormat="1" applyFont="1"/>
    <xf numFmtId="173" fontId="0" fillId="0" borderId="0" xfId="0" applyNumberFormat="1"/>
    <xf numFmtId="0" fontId="0" fillId="0" borderId="0" xfId="0" quotePrefix="1"/>
    <xf numFmtId="171" fontId="0" fillId="0" borderId="0" xfId="0" applyNumberFormat="1"/>
    <xf numFmtId="176" fontId="29" fillId="4" borderId="8" xfId="0" applyNumberFormat="1" applyFont="1" applyFill="1" applyBorder="1" applyAlignment="1">
      <alignment horizontal="center"/>
    </xf>
    <xf numFmtId="0" fontId="0" fillId="2" borderId="7" xfId="0" applyFill="1" applyBorder="1"/>
    <xf numFmtId="175" fontId="0" fillId="0" borderId="7" xfId="2" applyNumberFormat="1" applyFont="1" applyBorder="1"/>
    <xf numFmtId="175" fontId="0" fillId="4" borderId="7" xfId="2" applyNumberFormat="1" applyFont="1" applyFill="1" applyBorder="1"/>
    <xf numFmtId="0" fontId="0" fillId="2" borderId="64" xfId="0" applyFill="1" applyBorder="1"/>
    <xf numFmtId="0" fontId="0" fillId="2" borderId="65" xfId="0" applyFill="1" applyBorder="1"/>
    <xf numFmtId="174" fontId="0" fillId="0" borderId="64" xfId="2" applyNumberFormat="1" applyFont="1" applyBorder="1"/>
    <xf numFmtId="0" fontId="0" fillId="0" borderId="66" xfId="0" applyBorder="1"/>
    <xf numFmtId="174" fontId="0" fillId="0" borderId="66" xfId="2" applyNumberFormat="1" applyFont="1" applyBorder="1"/>
    <xf numFmtId="174" fontId="0" fillId="0" borderId="67" xfId="2" applyNumberFormat="1" applyFont="1" applyBorder="1"/>
    <xf numFmtId="174" fontId="0" fillId="0" borderId="68" xfId="2" applyNumberFormat="1" applyFont="1" applyBorder="1"/>
    <xf numFmtId="174" fontId="0" fillId="0" borderId="47" xfId="2" applyNumberFormat="1" applyFont="1" applyBorder="1"/>
    <xf numFmtId="0" fontId="9" fillId="0" borderId="20" xfId="0" applyFont="1" applyBorder="1"/>
    <xf numFmtId="0" fontId="0" fillId="4" borderId="0" xfId="0" applyFill="1" applyAlignment="1">
      <alignment horizontal="center"/>
    </xf>
    <xf numFmtId="0" fontId="0" fillId="4" borderId="8" xfId="0" applyFill="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8" fontId="35" fillId="3" borderId="44" xfId="0" applyNumberFormat="1" applyFont="1" applyFill="1" applyBorder="1" applyAlignment="1">
      <alignment horizontal="center" vertical="center"/>
    </xf>
    <xf numFmtId="8" fontId="35" fillId="3" borderId="47" xfId="0" applyNumberFormat="1" applyFont="1" applyFill="1" applyBorder="1" applyAlignment="1">
      <alignment horizontal="center" vertical="center"/>
    </xf>
    <xf numFmtId="0" fontId="35" fillId="3" borderId="47" xfId="0" applyFont="1" applyFill="1" applyBorder="1" applyAlignment="1">
      <alignment horizontal="center" vertical="center"/>
    </xf>
    <xf numFmtId="8" fontId="34" fillId="0" borderId="0" xfId="0" applyNumberFormat="1" applyFont="1"/>
    <xf numFmtId="0" fontId="34" fillId="0" borderId="0" xfId="0" applyFont="1"/>
    <xf numFmtId="8" fontId="36" fillId="0" borderId="50" xfId="0" applyNumberFormat="1" applyFont="1" applyBorder="1" applyAlignment="1">
      <alignment horizontal="center" vertical="center"/>
    </xf>
    <xf numFmtId="0" fontId="36" fillId="0" borderId="50" xfId="0" applyFont="1" applyBorder="1" applyAlignment="1">
      <alignment horizontal="center" vertical="center"/>
    </xf>
    <xf numFmtId="0" fontId="37" fillId="0" borderId="46" xfId="0" applyFont="1" applyBorder="1" applyAlignment="1">
      <alignment horizontal="center" vertical="center"/>
    </xf>
    <xf numFmtId="0" fontId="38" fillId="0" borderId="0" xfId="0" applyFont="1" applyAlignment="1">
      <alignment vertical="center" wrapText="1"/>
    </xf>
    <xf numFmtId="8" fontId="38" fillId="0" borderId="0" xfId="0" applyNumberFormat="1" applyFont="1" applyAlignment="1">
      <alignment vertical="center" wrapText="1"/>
    </xf>
    <xf numFmtId="0" fontId="6" fillId="10" borderId="16" xfId="0" applyFont="1" applyFill="1" applyBorder="1" applyProtection="1">
      <protection locked="0"/>
    </xf>
    <xf numFmtId="0" fontId="6" fillId="10" borderId="0" xfId="0" applyFont="1" applyFill="1" applyProtection="1">
      <protection locked="0"/>
    </xf>
    <xf numFmtId="0" fontId="7" fillId="10" borderId="16" xfId="0" applyFont="1" applyFill="1" applyBorder="1" applyProtection="1">
      <protection locked="0"/>
    </xf>
    <xf numFmtId="0" fontId="7" fillId="0" borderId="16" xfId="0" applyFont="1" applyBorder="1" applyProtection="1">
      <protection locked="0"/>
    </xf>
    <xf numFmtId="0" fontId="6" fillId="0" borderId="0" xfId="0" applyFont="1" applyProtection="1">
      <protection locked="0"/>
    </xf>
    <xf numFmtId="0" fontId="6" fillId="0" borderId="17" xfId="0" applyFont="1" applyBorder="1" applyProtection="1">
      <protection locked="0"/>
    </xf>
    <xf numFmtId="0" fontId="10" fillId="0" borderId="51" xfId="0" applyFont="1" applyBorder="1" applyAlignment="1" applyProtection="1">
      <alignment horizontal="centerContinuous"/>
      <protection locked="0"/>
    </xf>
    <xf numFmtId="0" fontId="6" fillId="0" borderId="52" xfId="0" applyFont="1" applyBorder="1" applyAlignment="1" applyProtection="1">
      <alignment horizontal="centerContinuous"/>
      <protection locked="0"/>
    </xf>
    <xf numFmtId="0" fontId="4" fillId="0" borderId="17" xfId="0" applyFont="1" applyBorder="1" applyProtection="1">
      <protection locked="0"/>
    </xf>
    <xf numFmtId="0" fontId="8" fillId="0" borderId="16" xfId="0" applyFont="1" applyBorder="1" applyProtection="1">
      <protection locked="0"/>
    </xf>
    <xf numFmtId="0" fontId="13" fillId="0" borderId="13" xfId="0" applyFont="1" applyBorder="1" applyAlignment="1" applyProtection="1">
      <alignment horizontal="centerContinuous"/>
      <protection locked="0"/>
    </xf>
    <xf numFmtId="0" fontId="14" fillId="0" borderId="14" xfId="0" applyFont="1" applyBorder="1" applyAlignment="1" applyProtection="1">
      <alignment horizontal="centerContinuous"/>
      <protection locked="0"/>
    </xf>
    <xf numFmtId="0" fontId="14" fillId="0" borderId="15" xfId="0" applyFont="1" applyBorder="1" applyAlignment="1" applyProtection="1">
      <alignment horizontal="centerContinuous"/>
      <protection locked="0"/>
    </xf>
    <xf numFmtId="0" fontId="9" fillId="0" borderId="0" xfId="0" applyFont="1" applyProtection="1">
      <protection locked="0"/>
    </xf>
    <xf numFmtId="0" fontId="30" fillId="0" borderId="53" xfId="0" applyFont="1" applyBorder="1" applyAlignment="1" applyProtection="1">
      <alignment horizontal="center"/>
      <protection locked="0"/>
    </xf>
    <xf numFmtId="166" fontId="30" fillId="0" borderId="54" xfId="0" applyNumberFormat="1" applyFont="1" applyBorder="1" applyAlignment="1" applyProtection="1">
      <alignment horizontal="center"/>
      <protection locked="0"/>
    </xf>
    <xf numFmtId="0" fontId="10" fillId="0" borderId="16" xfId="0" applyFont="1" applyBorder="1" applyAlignment="1" applyProtection="1">
      <alignment horizontal="centerContinuous"/>
      <protection locked="0"/>
    </xf>
    <xf numFmtId="0" fontId="9" fillId="0" borderId="17" xfId="0" applyFont="1" applyBorder="1" applyAlignment="1" applyProtection="1">
      <alignment horizontal="centerContinuous"/>
      <protection locked="0"/>
    </xf>
    <xf numFmtId="0" fontId="30" fillId="0" borderId="55" xfId="0" applyFont="1" applyBorder="1" applyAlignment="1" applyProtection="1">
      <alignment horizontal="center"/>
      <protection locked="0"/>
    </xf>
    <xf numFmtId="166" fontId="10" fillId="0" borderId="56" xfId="0" applyNumberFormat="1" applyFont="1" applyBorder="1" applyAlignment="1" applyProtection="1">
      <alignment horizontal="center"/>
      <protection locked="0"/>
    </xf>
    <xf numFmtId="0" fontId="9" fillId="0" borderId="0" xfId="0" applyFont="1" applyAlignment="1" applyProtection="1">
      <alignment horizontal="centerContinuous"/>
      <protection locked="0"/>
    </xf>
    <xf numFmtId="3" fontId="10" fillId="7" borderId="35" xfId="0" applyNumberFormat="1" applyFont="1" applyFill="1" applyBorder="1" applyAlignment="1" applyProtection="1">
      <alignment horizontal="center"/>
      <protection locked="0"/>
    </xf>
    <xf numFmtId="0" fontId="30" fillId="0" borderId="57" xfId="0" applyFont="1" applyBorder="1" applyAlignment="1" applyProtection="1">
      <alignment horizontal="center"/>
      <protection locked="0"/>
    </xf>
    <xf numFmtId="166" fontId="30" fillId="0" borderId="58" xfId="0" applyNumberFormat="1" applyFont="1" applyBorder="1" applyAlignment="1" applyProtection="1">
      <alignment horizontal="center"/>
      <protection locked="0"/>
    </xf>
    <xf numFmtId="0" fontId="9" fillId="0" borderId="16" xfId="0" applyFont="1" applyBorder="1" applyAlignment="1" applyProtection="1">
      <alignment horizontal="center"/>
      <protection locked="0"/>
    </xf>
    <xf numFmtId="3" fontId="9" fillId="0" borderId="17" xfId="0" applyNumberFormat="1" applyFont="1" applyBorder="1" applyAlignment="1" applyProtection="1">
      <alignment horizontal="center"/>
      <protection locked="0"/>
    </xf>
    <xf numFmtId="166" fontId="10" fillId="8" borderId="35" xfId="0" applyNumberFormat="1" applyFont="1" applyFill="1" applyBorder="1" applyAlignment="1" applyProtection="1">
      <alignment horizontal="center"/>
      <protection locked="0"/>
    </xf>
    <xf numFmtId="0" fontId="9" fillId="0" borderId="17" xfId="0" applyFont="1" applyBorder="1" applyProtection="1">
      <protection locked="0"/>
    </xf>
    <xf numFmtId="0" fontId="9" fillId="0" borderId="16" xfId="0" applyFont="1" applyBorder="1" applyProtection="1">
      <protection locked="0"/>
    </xf>
    <xf numFmtId="0" fontId="10" fillId="8" borderId="35" xfId="0" applyFont="1" applyFill="1" applyBorder="1" applyAlignment="1" applyProtection="1">
      <alignment horizontal="center"/>
      <protection locked="0"/>
    </xf>
    <xf numFmtId="0" fontId="30" fillId="0" borderId="59" xfId="0" applyFont="1" applyBorder="1" applyAlignment="1" applyProtection="1">
      <alignment horizontal="center"/>
      <protection locked="0"/>
    </xf>
    <xf numFmtId="166" fontId="30" fillId="0" borderId="60" xfId="0" applyNumberFormat="1" applyFont="1" applyBorder="1" applyAlignment="1" applyProtection="1">
      <alignment horizontal="center"/>
      <protection locked="0"/>
    </xf>
    <xf numFmtId="0" fontId="10" fillId="0" borderId="18" xfId="0" applyFont="1" applyBorder="1" applyAlignment="1" applyProtection="1">
      <alignment horizontal="centerContinuous"/>
      <protection locked="0"/>
    </xf>
    <xf numFmtId="0" fontId="9" fillId="0" borderId="19" xfId="0" applyFont="1" applyBorder="1" applyAlignment="1" applyProtection="1">
      <alignment horizontal="centerContinuous"/>
      <protection locked="0"/>
    </xf>
    <xf numFmtId="0" fontId="9" fillId="0" borderId="20" xfId="0" applyFont="1" applyBorder="1" applyProtection="1">
      <protection locked="0"/>
    </xf>
    <xf numFmtId="0" fontId="15" fillId="0" borderId="0" xfId="0" applyFont="1" applyAlignment="1" applyProtection="1">
      <alignment horizontal="center"/>
      <protection locked="0"/>
    </xf>
    <xf numFmtId="166" fontId="9" fillId="0" borderId="0" xfId="0" applyNumberFormat="1" applyFont="1" applyAlignment="1" applyProtection="1">
      <alignment horizontal="center"/>
      <protection locked="0"/>
    </xf>
    <xf numFmtId="0" fontId="6" fillId="10" borderId="15" xfId="0" applyFont="1" applyFill="1" applyBorder="1"/>
    <xf numFmtId="0" fontId="6" fillId="10" borderId="0" xfId="0" applyFont="1" applyFill="1"/>
    <xf numFmtId="0" fontId="28" fillId="10" borderId="17" xfId="0" applyFont="1" applyFill="1" applyBorder="1" applyAlignment="1">
      <alignment horizontal="right"/>
    </xf>
    <xf numFmtId="0" fontId="6" fillId="10" borderId="17" xfId="0" applyFont="1" applyFill="1" applyBorder="1"/>
    <xf numFmtId="43" fontId="16" fillId="0" borderId="0" xfId="2" applyFont="1"/>
    <xf numFmtId="0" fontId="0" fillId="0" borderId="61" xfId="0" applyBorder="1"/>
    <xf numFmtId="0" fontId="0" fillId="0" borderId="62" xfId="0" applyBorder="1"/>
    <xf numFmtId="0" fontId="0" fillId="0" borderId="63" xfId="0" applyBorder="1"/>
    <xf numFmtId="175" fontId="0" fillId="0" borderId="9" xfId="2" applyNumberFormat="1" applyFont="1" applyBorder="1"/>
    <xf numFmtId="0" fontId="10" fillId="0" borderId="69" xfId="0" applyFont="1" applyBorder="1" applyAlignment="1">
      <alignment horizontal="center"/>
    </xf>
    <xf numFmtId="0" fontId="10" fillId="0" borderId="70" xfId="0" applyFont="1" applyBorder="1" applyAlignment="1">
      <alignment horizontal="center"/>
    </xf>
    <xf numFmtId="166" fontId="4" fillId="0" borderId="0" xfId="0" applyNumberFormat="1" applyFont="1"/>
    <xf numFmtId="166" fontId="0" fillId="0" borderId="0" xfId="0" applyNumberFormat="1"/>
    <xf numFmtId="169" fontId="9" fillId="13" borderId="0" xfId="2" applyNumberFormat="1" applyFont="1" applyFill="1" applyBorder="1" applyAlignment="1">
      <alignment horizontal="center"/>
    </xf>
    <xf numFmtId="169" fontId="9" fillId="13" borderId="17" xfId="2" applyNumberFormat="1" applyFont="1" applyFill="1" applyBorder="1" applyAlignment="1">
      <alignment horizontal="center"/>
    </xf>
    <xf numFmtId="167" fontId="9" fillId="14" borderId="34" xfId="0" applyNumberFormat="1" applyFont="1" applyFill="1" applyBorder="1" applyAlignment="1">
      <alignment horizontal="center"/>
    </xf>
    <xf numFmtId="167" fontId="9" fillId="14" borderId="35" xfId="0" applyNumberFormat="1" applyFont="1" applyFill="1" applyBorder="1" applyAlignment="1">
      <alignment horizontal="center"/>
    </xf>
    <xf numFmtId="167" fontId="9" fillId="15" borderId="34" xfId="0" applyNumberFormat="1" applyFont="1" applyFill="1" applyBorder="1" applyAlignment="1">
      <alignment horizontal="center"/>
    </xf>
    <xf numFmtId="167" fontId="9" fillId="15" borderId="35" xfId="0" applyNumberFormat="1" applyFont="1" applyFill="1" applyBorder="1" applyAlignment="1">
      <alignment horizontal="center"/>
    </xf>
    <xf numFmtId="167" fontId="9" fillId="15" borderId="37" xfId="0" applyNumberFormat="1" applyFont="1" applyFill="1" applyBorder="1" applyAlignment="1">
      <alignment horizontal="center"/>
    </xf>
    <xf numFmtId="167" fontId="9" fillId="15" borderId="36" xfId="0" applyNumberFormat="1" applyFont="1" applyFill="1" applyBorder="1" applyAlignment="1">
      <alignment horizont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3" fillId="0" borderId="0" xfId="0" applyFont="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33"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wrapText="1"/>
    </xf>
    <xf numFmtId="0" fontId="0" fillId="4" borderId="1" xfId="0" applyFill="1" applyBorder="1" applyAlignment="1">
      <alignment horizontal="center"/>
    </xf>
    <xf numFmtId="0" fontId="0" fillId="4" borderId="9" xfId="0" applyFill="1" applyBorder="1" applyAlignment="1">
      <alignment horizontal="center"/>
    </xf>
    <xf numFmtId="0" fontId="0" fillId="4" borderId="0" xfId="0" applyFill="1" applyAlignment="1">
      <alignment horizontal="center"/>
    </xf>
    <xf numFmtId="0" fontId="0" fillId="4" borderId="8" xfId="0" applyFill="1" applyBorder="1" applyAlignment="1">
      <alignment horizontal="center"/>
    </xf>
    <xf numFmtId="44" fontId="0" fillId="6" borderId="6" xfId="0" applyNumberFormat="1" applyFill="1" applyBorder="1" applyAlignment="1">
      <alignment horizontal="center"/>
    </xf>
    <xf numFmtId="0" fontId="0" fillId="6" borderId="11" xfId="0" applyFill="1" applyBorder="1" applyAlignment="1">
      <alignment horizontal="center"/>
    </xf>
    <xf numFmtId="0" fontId="0" fillId="0" borderId="0" xfId="0" applyAlignment="1">
      <alignment horizontal="center" vertical="center" wrapText="1"/>
    </xf>
    <xf numFmtId="0" fontId="0" fillId="0" borderId="1" xfId="0" applyBorder="1" applyAlignment="1">
      <alignment horizontal="center"/>
    </xf>
    <xf numFmtId="0" fontId="0" fillId="3" borderId="1" xfId="0" applyFill="1" applyBorder="1" applyAlignment="1">
      <alignment horizontal="center"/>
    </xf>
    <xf numFmtId="0" fontId="0" fillId="4" borderId="7" xfId="0" applyFill="1" applyBorder="1" applyAlignment="1">
      <alignment horizontal="center"/>
    </xf>
    <xf numFmtId="0" fontId="0" fillId="4" borderId="6" xfId="0" applyFill="1" applyBorder="1" applyAlignment="1">
      <alignment horizontal="center"/>
    </xf>
    <xf numFmtId="0" fontId="0" fillId="4" borderId="5" xfId="0" applyFill="1" applyBorder="1" applyAlignment="1">
      <alignment horizontal="center"/>
    </xf>
    <xf numFmtId="0" fontId="0" fillId="2" borderId="9" xfId="0" applyFill="1" applyBorder="1" applyAlignment="1">
      <alignment horizontal="center"/>
    </xf>
    <xf numFmtId="0" fontId="0" fillId="2" borderId="0" xfId="0" applyFill="1" applyAlignment="1">
      <alignment horizontal="center"/>
    </xf>
    <xf numFmtId="0" fontId="0" fillId="2" borderId="8" xfId="0" applyFill="1" applyBorder="1" applyAlignment="1">
      <alignment horizontal="center"/>
    </xf>
    <xf numFmtId="0" fontId="0" fillId="0" borderId="0" xfId="0" applyAlignment="1">
      <alignment horizontal="center" vertical="center"/>
    </xf>
    <xf numFmtId="0" fontId="0" fillId="0" borderId="0" xfId="0" applyAlignment="1">
      <alignment horizontal="center"/>
    </xf>
    <xf numFmtId="0" fontId="3" fillId="2" borderId="9" xfId="0" applyFont="1" applyFill="1" applyBorder="1" applyAlignment="1">
      <alignment horizontal="center"/>
    </xf>
    <xf numFmtId="0" fontId="3" fillId="2" borderId="0" xfId="0" applyFont="1" applyFill="1" applyAlignment="1">
      <alignment horizontal="center"/>
    </xf>
    <xf numFmtId="0" fontId="3" fillId="2" borderId="8" xfId="0" applyFont="1" applyFill="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39" fillId="12" borderId="43" xfId="0" applyFont="1" applyFill="1" applyBorder="1" applyAlignment="1">
      <alignment horizontal="center" vertical="center"/>
    </xf>
    <xf numFmtId="0" fontId="37" fillId="0" borderId="43" xfId="0" applyFont="1" applyBorder="1" applyAlignment="1">
      <alignment horizontal="center" vertical="center"/>
    </xf>
    <xf numFmtId="8" fontId="36" fillId="0" borderId="43" xfId="0" applyNumberFormat="1" applyFont="1" applyBorder="1" applyAlignment="1">
      <alignment horizontal="center" vertical="center"/>
    </xf>
    <xf numFmtId="8" fontId="36" fillId="0" borderId="44" xfId="0" applyNumberFormat="1" applyFont="1" applyBorder="1" applyAlignment="1">
      <alignment horizontal="center" vertical="center"/>
    </xf>
    <xf numFmtId="0" fontId="36" fillId="0" borderId="43" xfId="0" applyFont="1" applyBorder="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11" borderId="46" xfId="0" applyFont="1" applyFill="1" applyBorder="1" applyAlignment="1">
      <alignment horizontal="center" vertical="center"/>
    </xf>
    <xf numFmtId="0" fontId="27" fillId="11" borderId="47" xfId="0" applyFont="1" applyFill="1" applyBorder="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17" fillId="11" borderId="43" xfId="0" applyFont="1" applyFill="1" applyBorder="1"/>
    <xf numFmtId="8" fontId="36" fillId="0" borderId="50" xfId="0" applyNumberFormat="1" applyFont="1" applyBorder="1" applyAlignment="1">
      <alignment horizontal="center" vertical="center"/>
    </xf>
    <xf numFmtId="8" fontId="36" fillId="0" borderId="47" xfId="0" applyNumberFormat="1" applyFont="1" applyBorder="1" applyAlignment="1">
      <alignment horizontal="center" vertical="center"/>
    </xf>
    <xf numFmtId="0" fontId="25" fillId="11" borderId="42" xfId="0" applyFont="1" applyFill="1" applyBorder="1" applyAlignment="1">
      <alignment vertical="center"/>
    </xf>
    <xf numFmtId="0" fontId="25" fillId="11" borderId="43" xfId="0" applyFont="1" applyFill="1" applyBorder="1" applyAlignment="1">
      <alignment vertical="center"/>
    </xf>
    <xf numFmtId="0" fontId="26" fillId="11" borderId="43" xfId="0" applyFont="1" applyFill="1" applyBorder="1" applyAlignment="1">
      <alignment vertical="center"/>
    </xf>
    <xf numFmtId="0" fontId="26" fillId="11" borderId="43" xfId="0" applyFont="1" applyFill="1" applyBorder="1" applyAlignment="1">
      <alignment horizontal="center" vertical="center"/>
    </xf>
    <xf numFmtId="0" fontId="18" fillId="0" borderId="48" xfId="0" applyFont="1" applyBorder="1" applyAlignment="1">
      <alignment horizontal="center" vertical="center"/>
    </xf>
    <xf numFmtId="0" fontId="18" fillId="0" borderId="45" xfId="0" applyFont="1" applyBorder="1" applyAlignment="1">
      <alignment horizontal="center" vertical="center"/>
    </xf>
    <xf numFmtId="0" fontId="21" fillId="0" borderId="49" xfId="0" applyFont="1" applyBorder="1" applyAlignment="1">
      <alignment horizontal="center" vertical="center"/>
    </xf>
    <xf numFmtId="0" fontId="21" fillId="0" borderId="46" xfId="0" applyFont="1" applyBorder="1" applyAlignment="1">
      <alignment horizontal="center" vertical="center"/>
    </xf>
    <xf numFmtId="0" fontId="18" fillId="0" borderId="49" xfId="0" applyFont="1" applyBorder="1" applyAlignment="1">
      <alignment horizontal="center" vertical="center"/>
    </xf>
    <xf numFmtId="0" fontId="18" fillId="0" borderId="46" xfId="0" applyFont="1" applyBorder="1" applyAlignment="1">
      <alignment horizontal="center" vertical="center"/>
    </xf>
    <xf numFmtId="0" fontId="20" fillId="0" borderId="49" xfId="0" applyFont="1" applyBorder="1" applyAlignment="1">
      <alignment horizontal="center" vertical="center"/>
    </xf>
    <xf numFmtId="0" fontId="20" fillId="0" borderId="46" xfId="0" applyFont="1" applyBorder="1" applyAlignment="1">
      <alignment horizontal="center" vertical="center"/>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colors>
    <mruColors>
      <color rgb="FFD9E1F2"/>
      <color rgb="FF003591"/>
      <color rgb="FFFCC917"/>
      <color rgb="FFFCAD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arlislesyntec.com/view.aspx?mode=post&amp;contentID=24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28576</xdr:rowOff>
    </xdr:from>
    <xdr:to>
      <xdr:col>3</xdr:col>
      <xdr:colOff>752475</xdr:colOff>
      <xdr:row>2</xdr:row>
      <xdr:rowOff>142875</xdr:rowOff>
    </xdr:to>
    <xdr:pic>
      <xdr:nvPicPr>
        <xdr:cNvPr id="4" name="Picture 3">
          <a:hlinkClick xmlns:r="http://schemas.openxmlformats.org/officeDocument/2006/relationships" r:id="rId1"/>
          <a:extLst>
            <a:ext uri="{FF2B5EF4-FFF2-40B4-BE49-F238E27FC236}">
              <a16:creationId xmlns:a16="http://schemas.microsoft.com/office/drawing/2014/main" id="{3EB02A0A-C8A4-4050-A081-6E9BDC691342}"/>
            </a:ext>
          </a:extLst>
        </xdr:cNvPr>
        <xdr:cNvPicPr>
          <a:picLocks noChangeAspect="1"/>
        </xdr:cNvPicPr>
      </xdr:nvPicPr>
      <xdr:blipFill>
        <a:blip xmlns:r="http://schemas.openxmlformats.org/officeDocument/2006/relationships" r:embed="rId2"/>
        <a:stretch>
          <a:fillRect/>
        </a:stretch>
      </xdr:blipFill>
      <xdr:spPr>
        <a:xfrm>
          <a:off x="628650" y="28576"/>
          <a:ext cx="2257425" cy="6095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alaman\Pricing%20calcualtor\Input%20Data%20Calcual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9">
          <cell r="D9" t="str">
            <v>bead / 32 sqft</v>
          </cell>
          <cell r="G9" t="str">
            <v>sec/32 sq ft</v>
          </cell>
          <cell r="J9" t="str">
            <v>sec / sq ft</v>
          </cell>
          <cell r="M9" t="str">
            <v>min / sq ft</v>
          </cell>
          <cell r="P9" t="str">
            <v>Hr / sq ft</v>
          </cell>
        </row>
        <row r="10">
          <cell r="B10" t="str">
            <v>seconds</v>
          </cell>
          <cell r="C10" t="str">
            <v>sec/bead</v>
          </cell>
          <cell r="D10" t="str">
            <v>4"</v>
          </cell>
          <cell r="E10" t="str">
            <v>6"</v>
          </cell>
          <cell r="F10" t="str">
            <v>12"</v>
          </cell>
          <cell r="G10" t="str">
            <v>4"</v>
          </cell>
          <cell r="H10" t="str">
            <v>6"</v>
          </cell>
          <cell r="I10" t="str">
            <v>12"</v>
          </cell>
          <cell r="J10" t="str">
            <v>4"</v>
          </cell>
          <cell r="K10" t="str">
            <v>6"</v>
          </cell>
          <cell r="L10" t="str">
            <v>12"</v>
          </cell>
          <cell r="M10" t="str">
            <v>4"</v>
          </cell>
          <cell r="N10" t="str">
            <v>6"</v>
          </cell>
          <cell r="O10" t="str">
            <v>12"</v>
          </cell>
          <cell r="P10" t="str">
            <v>4"</v>
          </cell>
          <cell r="Q10" t="str">
            <v>6"</v>
          </cell>
          <cell r="R10" t="str">
            <v>12"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arlislesyntec.com/view.aspx?mode=media&amp;contentID=1212" TargetMode="External"/><Relationship Id="rId3" Type="http://schemas.openxmlformats.org/officeDocument/2006/relationships/hyperlink" Target="https://www.carlislesyntec.com/view.aspx?mode=media&amp;contentID=1212" TargetMode="External"/><Relationship Id="rId7" Type="http://schemas.openxmlformats.org/officeDocument/2006/relationships/hyperlink" Target="https://www.carlislesyntec.com/view.aspx?mode=media&amp;contentID=1212" TargetMode="External"/><Relationship Id="rId12" Type="http://schemas.openxmlformats.org/officeDocument/2006/relationships/printerSettings" Target="../printerSettings/printerSettings4.bin"/><Relationship Id="rId2" Type="http://schemas.openxmlformats.org/officeDocument/2006/relationships/hyperlink" Target="https://www.carlislesyntec.com/view.aspx?mode=media&amp;contentID=1221" TargetMode="External"/><Relationship Id="rId1" Type="http://schemas.openxmlformats.org/officeDocument/2006/relationships/hyperlink" Target="https://www.carlislesyntec.com/view.aspx?mode=media&amp;contentID=1221" TargetMode="External"/><Relationship Id="rId6" Type="http://schemas.openxmlformats.org/officeDocument/2006/relationships/hyperlink" Target="https://www.carlislesyntec.com/view.aspx?mode=media&amp;contentID=1221" TargetMode="External"/><Relationship Id="rId11" Type="http://schemas.openxmlformats.org/officeDocument/2006/relationships/hyperlink" Target="https://www.carlislesyntec.com/view.aspx?mode=media&amp;contentID=1218" TargetMode="External"/><Relationship Id="rId5" Type="http://schemas.openxmlformats.org/officeDocument/2006/relationships/hyperlink" Target="https://www.carlislesyntec.com/view.aspx?mode=media&amp;contentID=1221" TargetMode="External"/><Relationship Id="rId10" Type="http://schemas.openxmlformats.org/officeDocument/2006/relationships/hyperlink" Target="https://www.carlislesyntec.com/view.aspx?mode=media&amp;contentID=1218" TargetMode="External"/><Relationship Id="rId4" Type="http://schemas.openxmlformats.org/officeDocument/2006/relationships/hyperlink" Target="https://www.carlislesyntec.com/view.aspx?mode=media&amp;contentID=1212" TargetMode="External"/><Relationship Id="rId9" Type="http://schemas.openxmlformats.org/officeDocument/2006/relationships/hyperlink" Target="https://www.carlislesyntec.com/view.aspx?mode=media&amp;contentID=56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B1:AA66"/>
  <sheetViews>
    <sheetView tabSelected="1" zoomScaleNormal="100" workbookViewId="0">
      <selection activeCell="M15" sqref="M15"/>
    </sheetView>
  </sheetViews>
  <sheetFormatPr defaultRowHeight="12.75" x14ac:dyDescent="0.2"/>
  <cols>
    <col min="1" max="1" width="9.140625" style="47"/>
    <col min="2" max="2" width="11.140625" style="47" bestFit="1" customWidth="1"/>
    <col min="3" max="3" width="11.7109375" style="47" customWidth="1"/>
    <col min="4" max="4" width="21.140625" style="47" bestFit="1" customWidth="1"/>
    <col min="5" max="6" width="12.28515625" style="47" bestFit="1" customWidth="1"/>
    <col min="7" max="9" width="12.28515625" style="47" customWidth="1"/>
    <col min="10" max="10" width="8.85546875" style="47" bestFit="1" customWidth="1"/>
    <col min="11" max="11" width="8.140625" style="47" customWidth="1"/>
    <col min="12" max="12" width="12.7109375" style="47" customWidth="1"/>
    <col min="13" max="16" width="9.140625" style="47"/>
    <col min="17" max="17" width="9.140625" style="47" hidden="1" customWidth="1"/>
    <col min="18" max="18" width="16" style="47" hidden="1" customWidth="1"/>
    <col min="19" max="26" width="9.140625" style="47" hidden="1" customWidth="1"/>
    <col min="27" max="27" width="7.7109375" style="47" hidden="1" customWidth="1"/>
    <col min="28" max="16384" width="9.140625" style="47"/>
  </cols>
  <sheetData>
    <row r="1" spans="2:27" ht="6.75" customHeight="1" x14ac:dyDescent="0.5">
      <c r="B1" s="51"/>
      <c r="C1" s="52"/>
      <c r="D1" s="52"/>
      <c r="E1" s="52"/>
      <c r="F1" s="52"/>
      <c r="G1" s="52"/>
      <c r="H1" s="52"/>
      <c r="I1" s="227"/>
    </row>
    <row r="2" spans="2:27" ht="32.25" x14ac:dyDescent="0.5">
      <c r="B2" s="190"/>
      <c r="C2" s="191"/>
      <c r="D2" s="228"/>
      <c r="E2" s="228"/>
      <c r="F2" s="228"/>
      <c r="G2" s="228"/>
      <c r="H2" s="228"/>
      <c r="I2" s="229" t="s">
        <v>126</v>
      </c>
      <c r="R2" s="93" t="s">
        <v>48</v>
      </c>
      <c r="S2" s="93" t="s">
        <v>49</v>
      </c>
      <c r="V2" s="93" t="s">
        <v>50</v>
      </c>
      <c r="W2" s="93" t="s">
        <v>51</v>
      </c>
      <c r="X2" s="93" t="s">
        <v>52</v>
      </c>
      <c r="Y2" s="47" t="s">
        <v>65</v>
      </c>
    </row>
    <row r="3" spans="2:27" x14ac:dyDescent="0.2">
      <c r="B3" s="192"/>
      <c r="C3" s="191"/>
      <c r="D3" s="228"/>
      <c r="E3" s="228"/>
      <c r="F3" s="228"/>
      <c r="G3" s="228"/>
      <c r="H3" s="228"/>
      <c r="I3" s="230"/>
      <c r="R3" s="93" t="s">
        <v>8</v>
      </c>
      <c r="S3" s="94">
        <v>224.4</v>
      </c>
      <c r="V3" s="93">
        <v>4</v>
      </c>
      <c r="W3" s="93">
        <v>5</v>
      </c>
      <c r="X3" s="93">
        <v>10</v>
      </c>
      <c r="Y3" s="93">
        <v>16</v>
      </c>
      <c r="AA3" s="47" t="s">
        <v>122</v>
      </c>
    </row>
    <row r="4" spans="2:27" ht="10.5" customHeight="1" thickBot="1" x14ac:dyDescent="0.25">
      <c r="B4" s="193"/>
      <c r="C4" s="194"/>
      <c r="D4" s="194"/>
      <c r="E4" s="194"/>
      <c r="F4" s="194"/>
      <c r="G4" s="194"/>
      <c r="H4" s="194"/>
      <c r="I4" s="195"/>
      <c r="R4" s="93" t="s">
        <v>125</v>
      </c>
      <c r="S4" s="94">
        <v>510</v>
      </c>
      <c r="V4" s="93">
        <v>6</v>
      </c>
      <c r="W4" s="93">
        <v>4</v>
      </c>
      <c r="X4" s="93">
        <v>9</v>
      </c>
      <c r="Y4" s="93">
        <v>17</v>
      </c>
    </row>
    <row r="5" spans="2:27" ht="13.5" thickBot="1" x14ac:dyDescent="0.25">
      <c r="B5" s="193"/>
      <c r="C5" s="194"/>
      <c r="D5" s="194"/>
      <c r="E5" s="194"/>
      <c r="F5" s="194"/>
      <c r="G5" s="196" t="s">
        <v>67</v>
      </c>
      <c r="H5" s="197"/>
      <c r="I5" s="198"/>
      <c r="R5" s="93" t="s">
        <v>0</v>
      </c>
      <c r="S5" s="94">
        <v>1020</v>
      </c>
      <c r="V5" s="93">
        <v>12</v>
      </c>
      <c r="W5" s="93">
        <v>3</v>
      </c>
      <c r="X5" s="93">
        <v>8</v>
      </c>
      <c r="Y5" s="93">
        <v>18</v>
      </c>
    </row>
    <row r="6" spans="2:27" ht="15" x14ac:dyDescent="0.25">
      <c r="B6" s="199"/>
      <c r="C6" s="200" t="s">
        <v>4</v>
      </c>
      <c r="D6" s="201"/>
      <c r="E6" s="202"/>
      <c r="F6" s="203"/>
      <c r="G6" s="204" t="s">
        <v>8</v>
      </c>
      <c r="H6" s="205">
        <f>IFERROR(VLOOKUP($E$14&amp;G6,FAST,4,0),0)</f>
        <v>410.96</v>
      </c>
      <c r="I6" s="198"/>
      <c r="R6" s="93" t="s">
        <v>7</v>
      </c>
      <c r="S6" s="94">
        <v>1122</v>
      </c>
      <c r="V6" s="93" t="s">
        <v>103</v>
      </c>
      <c r="W6" s="93">
        <v>6</v>
      </c>
      <c r="X6" s="93">
        <v>11</v>
      </c>
      <c r="Y6" s="93">
        <v>16</v>
      </c>
    </row>
    <row r="7" spans="2:27" ht="7.5" customHeight="1" x14ac:dyDescent="0.2">
      <c r="B7" s="199"/>
      <c r="C7" s="206"/>
      <c r="D7" s="203"/>
      <c r="E7" s="207"/>
      <c r="F7" s="203"/>
      <c r="G7" s="208"/>
      <c r="H7" s="209"/>
      <c r="I7" s="198"/>
      <c r="R7" s="93" t="s">
        <v>6</v>
      </c>
      <c r="S7" s="94">
        <v>3431.28</v>
      </c>
      <c r="V7" s="47" t="s">
        <v>124</v>
      </c>
      <c r="W7" s="93">
        <v>7</v>
      </c>
      <c r="X7" s="93">
        <v>12</v>
      </c>
      <c r="Y7" s="93">
        <v>16</v>
      </c>
    </row>
    <row r="8" spans="2:27" ht="15.75" customHeight="1" x14ac:dyDescent="0.2">
      <c r="B8" s="199"/>
      <c r="C8" s="206" t="s">
        <v>62</v>
      </c>
      <c r="D8" s="210"/>
      <c r="E8" s="211">
        <v>500000</v>
      </c>
      <c r="F8" s="203"/>
      <c r="G8" s="212" t="s">
        <v>125</v>
      </c>
      <c r="H8" s="213">
        <f>IFERROR(VLOOKUP($E$14&amp;G8,FAST,4,0),0)</f>
        <v>968.54</v>
      </c>
      <c r="I8" s="198"/>
      <c r="R8" s="93"/>
      <c r="S8" s="94"/>
    </row>
    <row r="9" spans="2:27" ht="7.5" customHeight="1" x14ac:dyDescent="0.2">
      <c r="B9" s="199"/>
      <c r="C9" s="214"/>
      <c r="D9" s="203"/>
      <c r="E9" s="215"/>
      <c r="F9" s="203"/>
      <c r="G9" s="208"/>
      <c r="H9" s="209"/>
      <c r="I9" s="198"/>
      <c r="R9" s="93"/>
      <c r="S9" s="94"/>
    </row>
    <row r="10" spans="2:27" ht="15.75" customHeight="1" x14ac:dyDescent="0.2">
      <c r="B10" s="199"/>
      <c r="C10" s="206" t="s">
        <v>63</v>
      </c>
      <c r="D10" s="210"/>
      <c r="E10" s="216">
        <v>75</v>
      </c>
      <c r="F10" s="203"/>
      <c r="G10" s="212" t="s">
        <v>0</v>
      </c>
      <c r="H10" s="213">
        <f>IFERROR(VLOOKUP($E$14&amp;G10,FAST,4,0),0)</f>
        <v>1646.2</v>
      </c>
      <c r="I10" s="198"/>
      <c r="K10" s="238"/>
    </row>
    <row r="11" spans="2:27" ht="7.5" customHeight="1" x14ac:dyDescent="0.2">
      <c r="B11" s="199"/>
      <c r="C11" s="214"/>
      <c r="D11" s="203"/>
      <c r="E11" s="217"/>
      <c r="F11" s="203"/>
      <c r="G11" s="208"/>
      <c r="H11" s="209"/>
      <c r="I11" s="198"/>
    </row>
    <row r="12" spans="2:27" ht="15.75" customHeight="1" x14ac:dyDescent="0.2">
      <c r="B12" s="218"/>
      <c r="C12" s="206" t="s">
        <v>61</v>
      </c>
      <c r="D12" s="210"/>
      <c r="E12" s="219" t="s">
        <v>124</v>
      </c>
      <c r="F12" s="203"/>
      <c r="G12" s="212" t="s">
        <v>7</v>
      </c>
      <c r="H12" s="213">
        <f>IFERROR(VLOOKUP($E$14&amp;G12,FAST,4,0),0)</f>
        <v>2249.44</v>
      </c>
      <c r="I12" s="198"/>
    </row>
    <row r="13" spans="2:27" ht="7.5" customHeight="1" x14ac:dyDescent="0.2">
      <c r="B13" s="199"/>
      <c r="C13" s="214"/>
      <c r="D13" s="203"/>
      <c r="E13" s="217"/>
      <c r="F13" s="203"/>
      <c r="G13" s="208"/>
      <c r="H13" s="209"/>
      <c r="I13" s="198"/>
    </row>
    <row r="14" spans="2:27" ht="15.75" customHeight="1" thickBot="1" x14ac:dyDescent="0.25">
      <c r="B14" s="218"/>
      <c r="C14" s="206" t="s">
        <v>128</v>
      </c>
      <c r="D14" s="210"/>
      <c r="E14" s="219" t="s">
        <v>122</v>
      </c>
      <c r="F14" s="203"/>
      <c r="G14" s="220" t="s">
        <v>6</v>
      </c>
      <c r="H14" s="221">
        <f>IFERROR(VLOOKUP($E$14&amp;G14,FAST,4,0),0)</f>
        <v>6987.7</v>
      </c>
      <c r="I14" s="198"/>
    </row>
    <row r="15" spans="2:27" ht="7.5" customHeight="1" thickBot="1" x14ac:dyDescent="0.25">
      <c r="B15" s="218"/>
      <c r="C15" s="222"/>
      <c r="D15" s="223"/>
      <c r="E15" s="224"/>
      <c r="F15" s="203"/>
      <c r="G15" s="225"/>
      <c r="H15" s="226"/>
      <c r="I15" s="198"/>
    </row>
    <row r="16" spans="2:27" hidden="1" x14ac:dyDescent="0.2">
      <c r="B16" s="55"/>
      <c r="D16" s="56" t="s">
        <v>53</v>
      </c>
      <c r="E16" s="57">
        <f>VLOOKUP($E$12,lookup,2,0)</f>
        <v>7</v>
      </c>
      <c r="F16" s="57">
        <f>VLOOKUP($E$12,lookup,2,0)</f>
        <v>7</v>
      </c>
      <c r="G16" s="57">
        <f>VLOOKUP($E$12,lookup,2,0)</f>
        <v>7</v>
      </c>
      <c r="H16" s="95">
        <f>VLOOKUP($E$12,lookup,2,0)</f>
        <v>7</v>
      </c>
      <c r="I16" s="58">
        <f>VLOOKUP($E$12,lookup,2,0)</f>
        <v>7</v>
      </c>
    </row>
    <row r="17" spans="2:9" hidden="1" x14ac:dyDescent="0.2">
      <c r="B17" s="55"/>
      <c r="D17" s="56" t="s">
        <v>54</v>
      </c>
      <c r="E17" s="57">
        <f>VLOOKUP($E$12,lookup,3,0)</f>
        <v>12</v>
      </c>
      <c r="F17" s="57">
        <f>VLOOKUP($E$12,lookup,3,0)</f>
        <v>12</v>
      </c>
      <c r="G17" s="57">
        <f>VLOOKUP($E$12,lookup,3,0)</f>
        <v>12</v>
      </c>
      <c r="H17" s="95">
        <f>VLOOKUP($E$12,lookup,3,0)</f>
        <v>12</v>
      </c>
      <c r="I17" s="58">
        <f>VLOOKUP($E$12,lookup,3,0)</f>
        <v>12</v>
      </c>
    </row>
    <row r="18" spans="2:9" x14ac:dyDescent="0.2">
      <c r="B18" s="55"/>
      <c r="C18" s="56"/>
      <c r="D18" s="57"/>
      <c r="E18" s="57"/>
      <c r="F18" s="57"/>
      <c r="I18" s="96"/>
    </row>
    <row r="19" spans="2:9" hidden="1" x14ac:dyDescent="0.2">
      <c r="B19" s="55"/>
      <c r="C19" s="53"/>
      <c r="D19" s="56"/>
      <c r="E19" s="57"/>
      <c r="F19" s="57"/>
      <c r="G19" s="57"/>
      <c r="H19" s="57"/>
      <c r="I19" s="58"/>
    </row>
    <row r="20" spans="2:9" ht="12.75" customHeight="1" thickBot="1" x14ac:dyDescent="0.25">
      <c r="B20" s="55"/>
      <c r="C20" s="53"/>
      <c r="D20" s="53"/>
      <c r="E20" s="236" t="s">
        <v>8</v>
      </c>
      <c r="F20" s="236" t="s">
        <v>125</v>
      </c>
      <c r="G20" s="236" t="s">
        <v>0</v>
      </c>
      <c r="H20" s="236" t="s">
        <v>7</v>
      </c>
      <c r="I20" s="237" t="s">
        <v>6</v>
      </c>
    </row>
    <row r="21" spans="2:9" ht="15" customHeight="1" x14ac:dyDescent="0.2">
      <c r="B21" s="248" t="s">
        <v>57</v>
      </c>
      <c r="C21" s="249"/>
      <c r="D21" s="84" t="s">
        <v>59</v>
      </c>
      <c r="E21" s="85" t="str">
        <f>IF(E12="Full Spray","N/A",IF(E12="Splatter","N/A",ROUNDUP(($E$8/(VLOOKUP(E$20,'Coverage Rates'!$A$3:$G$7,SynTec_FAST!E$16,0))),0)))</f>
        <v>N/A</v>
      </c>
      <c r="F21" s="85">
        <f>IF(E12="Full Spray","N/A",ROUNDUP(($E$8/(VLOOKUP(F$20,'Coverage Rates'!$A$3:$G$7,SynTec_FAST!F$16,0))),0))</f>
        <v>250</v>
      </c>
      <c r="G21" s="85">
        <f>IF(E12="Full Spray","N/A",ROUNDUP(($E$8/(VLOOKUP(G$20,'Coverage Rates'!$A$3:$G$7,SynTec_FAST!G$16,0))),0))</f>
        <v>179</v>
      </c>
      <c r="H21" s="85">
        <f>ROUNDUP(($E$8/(VLOOKUP(H$20,'Coverage Rates'!$A$3:$G$7,SynTec_FAST!H$16,0))),0)</f>
        <v>84</v>
      </c>
      <c r="I21" s="86">
        <f>ROUNDUP(($E$8/(VLOOKUP(I$20,'Coverage Rates'!$A$3:$G$7,SynTec_FAST!I$16,0))),0)</f>
        <v>25</v>
      </c>
    </row>
    <row r="22" spans="2:9" ht="15" customHeight="1" x14ac:dyDescent="0.2">
      <c r="B22" s="250"/>
      <c r="C22" s="251"/>
      <c r="D22" s="61"/>
      <c r="E22" s="62"/>
      <c r="F22" s="62"/>
      <c r="G22" s="62"/>
      <c r="H22" s="62"/>
      <c r="I22" s="63"/>
    </row>
    <row r="23" spans="2:9" ht="15" customHeight="1" x14ac:dyDescent="0.2">
      <c r="B23" s="250"/>
      <c r="C23" s="251"/>
      <c r="D23" s="87" t="s">
        <v>5</v>
      </c>
      <c r="E23" s="88" t="str">
        <f>IF(E12="Full Spray","N/A",IF(E12="Splatter","N/A",SUM(VLOOKUP(E$20,cost,2,0)/VLOOKUP(E$20,'Coverage Rates'!$A$3:$B$7,2,0)*VLOOKUP(E$20,'Coverage Rates'!$A$3:$L$7,E$17,0))))</f>
        <v>N/A</v>
      </c>
      <c r="F23" s="88">
        <f>IF(E12="Full Spray","N/A",SUM(VLOOKUP(F$20,cost,2,0)/VLOOKUP(F$20,'Coverage Rates'!$A$3:$B$7,2,0)*VLOOKUP(F$20,'Coverage Rates'!$A$3:$L$7,F$17,0)))</f>
        <v>0.48427000000000003</v>
      </c>
      <c r="G23" s="88">
        <f>IF(E12="Full Spray","N/A",SUM(VLOOKUP(G$20,cost,2,0)/VLOOKUP(G$20,'Coverage Rates'!$A$3:$B$7,2,0)*VLOOKUP(G$20,'Coverage Rates'!$A$3:$L$7,G$17,0)))</f>
        <v>0.58792857142857147</v>
      </c>
      <c r="H23" s="88">
        <f>SUM(VLOOKUP(H$20,cost,2,0)/VLOOKUP(H$20,'Coverage Rates'!$A$3:$B$7,2,0)*VLOOKUP(H$20,'Coverage Rates'!$A$3:$L$7,H$17,0))</f>
        <v>0.37490666666666672</v>
      </c>
      <c r="I23" s="89">
        <f>SUM(VLOOKUP(I$20,cost,2,0)/VLOOKUP(I$20,'Coverage Rates'!$A$3:$B$7,2,0)*VLOOKUP(I$20,'Coverage Rates'!$A$3:$L$7,I$17,0))</f>
        <v>0.349385</v>
      </c>
    </row>
    <row r="24" spans="2:9" ht="15" customHeight="1" x14ac:dyDescent="0.2">
      <c r="B24" s="250"/>
      <c r="C24" s="251"/>
      <c r="D24" s="64"/>
      <c r="E24" s="65"/>
      <c r="F24" s="65"/>
      <c r="G24" s="65"/>
      <c r="H24" s="65"/>
      <c r="I24" s="66"/>
    </row>
    <row r="25" spans="2:9" ht="15" customHeight="1" thickBot="1" x14ac:dyDescent="0.25">
      <c r="B25" s="252"/>
      <c r="C25" s="253"/>
      <c r="D25" s="90" t="s">
        <v>47</v>
      </c>
      <c r="E25" s="91" t="str">
        <f>IFERROR(VLOOKUP(E$20,cost,2,0)*E21,"N/A")</f>
        <v>N/A</v>
      </c>
      <c r="F25" s="91">
        <f>IFERROR(VLOOKUP(F$20,cost,2,0)*F21,"N/A")</f>
        <v>242135</v>
      </c>
      <c r="G25" s="91">
        <f>IFERROR(VLOOKUP(G$20,cost,2,0)*G21,"N/A")</f>
        <v>294669.8</v>
      </c>
      <c r="H25" s="91">
        <f>IFERROR(VLOOKUP(H$20,cost,2,0)*H21,"N/A")</f>
        <v>188952.95999999999</v>
      </c>
      <c r="I25" s="92">
        <f>IFERROR(VLOOKUP(I$20,cost,2,0)*I21,"N/A")</f>
        <v>174692.5</v>
      </c>
    </row>
    <row r="26" spans="2:9" ht="10.5" customHeight="1" thickBot="1" x14ac:dyDescent="0.25">
      <c r="B26" s="55"/>
      <c r="C26" s="53"/>
      <c r="D26" s="53"/>
      <c r="E26" s="53"/>
      <c r="F26" s="53"/>
      <c r="G26" s="53"/>
      <c r="H26" s="53"/>
      <c r="I26" s="54"/>
    </row>
    <row r="27" spans="2:9" ht="15.75" customHeight="1" x14ac:dyDescent="0.2">
      <c r="B27" s="248" t="s">
        <v>58</v>
      </c>
      <c r="C27" s="254"/>
      <c r="D27" s="75" t="s">
        <v>40</v>
      </c>
      <c r="E27" s="76" t="str">
        <f>IF(E12="Full Spray","N/A",IF(E12="Splatter","",IF(E38="","",$E$10*E38)))</f>
        <v/>
      </c>
      <c r="F27" s="76" t="str">
        <f t="shared" ref="E27:I30" si="0">IF(F38="","",$E$10*F38)</f>
        <v/>
      </c>
      <c r="G27" s="76" t="str">
        <f t="shared" si="0"/>
        <v/>
      </c>
      <c r="H27" s="76" t="str">
        <f t="shared" si="0"/>
        <v/>
      </c>
      <c r="I27" s="77" t="str">
        <f t="shared" si="0"/>
        <v/>
      </c>
    </row>
    <row r="28" spans="2:9" ht="15.75" customHeight="1" x14ac:dyDescent="0.2">
      <c r="B28" s="250"/>
      <c r="C28" s="255"/>
      <c r="D28" s="67" t="s">
        <v>41</v>
      </c>
      <c r="E28" s="68" t="str">
        <f t="shared" si="0"/>
        <v/>
      </c>
      <c r="F28" s="68" t="str">
        <f>IF(E12="Splatter","",IF(E12="Full Spray","N/A",IF(F39="","",$E$10*F39)))</f>
        <v/>
      </c>
      <c r="G28" s="68" t="str">
        <f>IF(G39="","",$E$10*G39)</f>
        <v/>
      </c>
      <c r="H28" s="68" t="str">
        <f>IF(E12="Splatter","",IF(E12="Full Spray","",IF(H39="","",$E$10*H39)))</f>
        <v/>
      </c>
      <c r="I28" s="69" t="str">
        <f>IF(E12="Splatter","",IF(E12="Full Spray","",IF(I39="","",$E$10*I39)))</f>
        <v/>
      </c>
    </row>
    <row r="29" spans="2:9" ht="15.75" customHeight="1" x14ac:dyDescent="0.2">
      <c r="B29" s="250"/>
      <c r="C29" s="255"/>
      <c r="D29" s="78" t="s">
        <v>0</v>
      </c>
      <c r="E29" s="79" t="str">
        <f t="shared" si="0"/>
        <v/>
      </c>
      <c r="F29" s="79" t="str">
        <f>IF(F40="","",$E$10*F40)</f>
        <v/>
      </c>
      <c r="G29" s="79">
        <f>IF(E12="Full Spray","N/A",IF($E$12="Splatter",($E$10*0.667*G40),IF(G40="","",$E$10*G40)))</f>
        <v>6803.1684027777792</v>
      </c>
      <c r="H29" s="79" t="str">
        <f t="shared" si="0"/>
        <v/>
      </c>
      <c r="I29" s="80" t="str">
        <f t="shared" si="0"/>
        <v/>
      </c>
    </row>
    <row r="30" spans="2:9" ht="15.75" customHeight="1" x14ac:dyDescent="0.2">
      <c r="B30" s="250"/>
      <c r="C30" s="255"/>
      <c r="D30" s="67" t="s">
        <v>105</v>
      </c>
      <c r="E30" s="68" t="str">
        <f>IF(E41="","",$E$10*E41)</f>
        <v/>
      </c>
      <c r="F30" s="242">
        <f>IF($E$12="Full Spray","",IF($E$12="Splatter",($E$10*0.667*F41),IF(F41="","",$E$10*F41)))</f>
        <v>4631.9444444444443</v>
      </c>
      <c r="G30" s="68" t="str">
        <f t="shared" si="0"/>
        <v/>
      </c>
      <c r="H30" s="242">
        <f t="shared" ref="H30:H33" si="1">IF($E$12="Full Spray","",IF($E$12="Splatter",($E$10*0.667*H41),IF(H41="","",$E$10*H41)))</f>
        <v>4631.9444444444443</v>
      </c>
      <c r="I30" s="69" t="str">
        <f t="shared" si="0"/>
        <v/>
      </c>
    </row>
    <row r="31" spans="2:9" ht="15.75" customHeight="1" x14ac:dyDescent="0.2">
      <c r="B31" s="250"/>
      <c r="C31" s="255"/>
      <c r="D31" s="78" t="s">
        <v>42</v>
      </c>
      <c r="E31" s="79" t="str">
        <f>IF(E42="","",$E$10*E42)</f>
        <v/>
      </c>
      <c r="F31" s="244">
        <f>IF($E$12="Full Spray","",IF($E$12="Splatter",($E$10*0.667*F42),IF(F42="","",$E$10*F42)))</f>
        <v>4631.9444444444443</v>
      </c>
      <c r="G31" s="79" t="str">
        <f>IF(G42="","",$E$10*G42)</f>
        <v/>
      </c>
      <c r="H31" s="244">
        <f t="shared" si="1"/>
        <v>4631.9444444444443</v>
      </c>
      <c r="I31" s="80" t="str">
        <f>IF(I42="","",$E$10*I42)</f>
        <v/>
      </c>
    </row>
    <row r="32" spans="2:9" ht="15.75" customHeight="1" x14ac:dyDescent="0.2">
      <c r="B32" s="250"/>
      <c r="C32" s="255"/>
      <c r="D32" s="67" t="s">
        <v>123</v>
      </c>
      <c r="E32" s="68" t="str">
        <f t="shared" ref="E32:G35" si="2">IF(E43="","",$E$10*E43)</f>
        <v/>
      </c>
      <c r="F32" s="242">
        <f>IF($E$12="Full Spray","",IF($E$12="Splatter",($E$10*0.667*F43),IF(F43="","",$E$10*F43)))</f>
        <v>4631.9444444444443</v>
      </c>
      <c r="G32" s="68" t="str">
        <f t="shared" si="2"/>
        <v/>
      </c>
      <c r="H32" s="242">
        <f t="shared" si="1"/>
        <v>4631.9444444444443</v>
      </c>
      <c r="I32" s="243">
        <f>IF($E$12="Full Spray","",IF($E$12="Splatter",$E$10*0.667*I43,IF(I43="","",$E$10*I43)))</f>
        <v>4631.9444444444443</v>
      </c>
    </row>
    <row r="33" spans="2:12" ht="15.75" customHeight="1" x14ac:dyDescent="0.25">
      <c r="B33" s="250"/>
      <c r="C33" s="255"/>
      <c r="D33" s="78" t="s">
        <v>104</v>
      </c>
      <c r="E33" s="79" t="str">
        <f t="shared" si="2"/>
        <v/>
      </c>
      <c r="F33" s="244">
        <f>IF($E$12="Full Spray","",IF($E$12="Splatter",($E$10*0.667*F43),IF($E$12="","",$E$10*F44)))</f>
        <v>4631.9444444444443</v>
      </c>
      <c r="G33" s="79" t="str">
        <f t="shared" si="2"/>
        <v/>
      </c>
      <c r="H33" s="244">
        <f t="shared" si="1"/>
        <v>3546.3324652777783</v>
      </c>
      <c r="I33" s="245">
        <f t="shared" ref="I33" si="3">IF($E$12="Full Spray","",IF($E$12="Splatter",$E$10*0.667*I44,IF(I44="","",$E$10*I44)))</f>
        <v>3546.3324652777783</v>
      </c>
      <c r="L33" s="239"/>
    </row>
    <row r="34" spans="2:12" ht="15.75" customHeight="1" x14ac:dyDescent="0.25">
      <c r="B34" s="250"/>
      <c r="C34" s="255"/>
      <c r="D34" s="67" t="s">
        <v>130</v>
      </c>
      <c r="E34" s="68" t="str">
        <f t="shared" si="2"/>
        <v/>
      </c>
      <c r="F34" s="68" t="str">
        <f>IF(F45="","",$E$10*F45)</f>
        <v/>
      </c>
      <c r="G34" s="68" t="str">
        <f t="shared" si="2"/>
        <v/>
      </c>
      <c r="H34" s="242">
        <f>IF($E$12="Full Spray","",IF($E$12="Splatter",($E$10*0.667*H45),IF(H45="","",$E$10*H45)))</f>
        <v>4125.3255208333339</v>
      </c>
      <c r="I34" s="243">
        <f>IF($E$12="Full Spray","",IF($E$12="Splatter",$E$10*0.667*I45,IF(I45="","",$E$10*I45)))</f>
        <v>4125.3255208333339</v>
      </c>
      <c r="L34"/>
    </row>
    <row r="35" spans="2:12" ht="15.75" thickBot="1" x14ac:dyDescent="0.3">
      <c r="B35" s="252"/>
      <c r="C35" s="256"/>
      <c r="D35" s="81" t="s">
        <v>129</v>
      </c>
      <c r="E35" s="82" t="str">
        <f t="shared" si="2"/>
        <v/>
      </c>
      <c r="F35" s="82" t="str">
        <f t="shared" si="2"/>
        <v/>
      </c>
      <c r="G35" s="82" t="str">
        <f t="shared" si="2"/>
        <v/>
      </c>
      <c r="H35" s="246" t="str">
        <f>IF($E$12="Splatter","",IF(H46="","",$E$10*H46))</f>
        <v/>
      </c>
      <c r="I35" s="247" t="str">
        <f>IF($E$12="Splatter","",IF(I46="","",$E$10*I46))</f>
        <v/>
      </c>
      <c r="L35"/>
    </row>
    <row r="36" spans="2:12" ht="15" hidden="1" customHeight="1" x14ac:dyDescent="0.25">
      <c r="B36" s="55"/>
      <c r="C36" s="53"/>
      <c r="D36" s="53"/>
      <c r="E36" s="53"/>
      <c r="F36" s="53"/>
      <c r="G36" s="53"/>
      <c r="H36" s="53"/>
      <c r="I36" s="54"/>
      <c r="L36"/>
    </row>
    <row r="37" spans="2:12" ht="15" hidden="1" customHeight="1" x14ac:dyDescent="0.25">
      <c r="B37" s="55"/>
      <c r="C37" s="53"/>
      <c r="D37" s="53" t="s">
        <v>66</v>
      </c>
      <c r="E37" s="57">
        <f>VLOOKUP($E$12,lookup,4,0)</f>
        <v>16</v>
      </c>
      <c r="F37" s="57">
        <f>VLOOKUP($E$12,lookup,4,0)</f>
        <v>16</v>
      </c>
      <c r="G37" s="57">
        <f>VLOOKUP($E$12,lookup,4,0)</f>
        <v>16</v>
      </c>
      <c r="H37" s="57">
        <f>VLOOKUP($E$12,lookup,4,0)</f>
        <v>16</v>
      </c>
      <c r="I37" s="58">
        <f>VLOOKUP($E$12,lookup,4,0)</f>
        <v>16</v>
      </c>
      <c r="L37"/>
    </row>
    <row r="38" spans="2:12" ht="15" hidden="1" customHeight="1" x14ac:dyDescent="0.25">
      <c r="B38" s="257" t="s">
        <v>55</v>
      </c>
      <c r="C38" s="258"/>
      <c r="D38" s="53" t="s">
        <v>40</v>
      </c>
      <c r="E38" s="59" t="str">
        <f>IF(E12="Full Spray","N/A",IF(E12="Splatter","N/A",IFERROR($E$8*VLOOKUP($D38,'Coverage Rates'!$A$13:$R$21,SynTec_FAST!E$37,0),"")))</f>
        <v>N/A</v>
      </c>
      <c r="F38" s="59"/>
      <c r="G38" s="59"/>
      <c r="H38" s="59"/>
      <c r="I38" s="60"/>
      <c r="L38"/>
    </row>
    <row r="39" spans="2:12" ht="15" hidden="1" customHeight="1" x14ac:dyDescent="0.25">
      <c r="B39" s="257"/>
      <c r="C39" s="258"/>
      <c r="D39" s="53" t="s">
        <v>41</v>
      </c>
      <c r="E39" s="59"/>
      <c r="F39" s="59">
        <f>IFERROR($E$8*VLOOKUP($D39,'Coverage Rates'!$A$13:$R$21,SynTec_FAST!F$37,0),"")</f>
        <v>159.1435185185185</v>
      </c>
      <c r="G39" s="59"/>
      <c r="H39" s="59">
        <f>IFERROR($E$8*VLOOKUP($D39,'Coverage Rates'!$A$13:$R$21,SynTec_FAST!H$37,0),"")</f>
        <v>159.1435185185185</v>
      </c>
      <c r="I39" s="60">
        <f>IFERROR($E$8*VLOOKUP($D39,'Coverage Rates'!$A$13:$R$21,SynTec_FAST!I$37,0),"")</f>
        <v>159.1435185185185</v>
      </c>
      <c r="L39"/>
    </row>
    <row r="40" spans="2:12" ht="15" hidden="1" customHeight="1" x14ac:dyDescent="0.25">
      <c r="B40" s="257"/>
      <c r="C40" s="258"/>
      <c r="D40" s="53" t="s">
        <v>0</v>
      </c>
      <c r="E40" s="59"/>
      <c r="F40" s="59"/>
      <c r="G40" s="59">
        <f>IFERROR($E$8*VLOOKUP($D40,'Coverage Rates'!$A$13:$R$21,SynTec_FAST!G$37,0),"")</f>
        <v>135.99537037037038</v>
      </c>
      <c r="H40" s="59"/>
      <c r="I40" s="60"/>
      <c r="L40"/>
    </row>
    <row r="41" spans="2:12" ht="15" hidden="1" customHeight="1" x14ac:dyDescent="0.25">
      <c r="B41" s="257"/>
      <c r="C41" s="258"/>
      <c r="D41" s="53" t="s">
        <v>105</v>
      </c>
      <c r="E41" s="59"/>
      <c r="F41" s="59">
        <f>IFERROR($E$8*VLOOKUP($D41,'Coverage Rates'!$A$13:$R$21,SynTec_FAST!F$37,0),"")</f>
        <v>92.592592592592581</v>
      </c>
      <c r="G41" s="59"/>
      <c r="H41" s="59">
        <f>IFERROR($E$8*VLOOKUP($D41,'Coverage Rates'!$A$13:$R$21,SynTec_FAST!H$37,0),"")</f>
        <v>92.592592592592581</v>
      </c>
      <c r="I41" s="60"/>
      <c r="L41"/>
    </row>
    <row r="42" spans="2:12" ht="15" hidden="1" customHeight="1" x14ac:dyDescent="0.25">
      <c r="B42" s="257"/>
      <c r="C42" s="258"/>
      <c r="D42" s="53" t="s">
        <v>42</v>
      </c>
      <c r="E42" s="59"/>
      <c r="F42" s="59">
        <f>IFERROR($E$8*VLOOKUP($D42,'Coverage Rates'!$A$13:$R$21,SynTec_FAST!F$37,0),"")</f>
        <v>92.592592592592581</v>
      </c>
      <c r="G42" s="59"/>
      <c r="H42" s="59">
        <f>IFERROR($E$8*VLOOKUP($D42,'Coverage Rates'!$A$13:$R$21,SynTec_FAST!H$37,0),"")</f>
        <v>92.592592592592581</v>
      </c>
      <c r="I42" s="241"/>
      <c r="L42"/>
    </row>
    <row r="43" spans="2:12" ht="15" hidden="1" customHeight="1" x14ac:dyDescent="0.25">
      <c r="B43" s="257"/>
      <c r="C43" s="258"/>
      <c r="D43" s="53" t="s">
        <v>123</v>
      </c>
      <c r="E43" s="59"/>
      <c r="F43" s="59">
        <f>IFERROR($E$8*VLOOKUP($D43,'Coverage Rates'!$A$13:$R$21,SynTec_FAST!F$37,0),"")</f>
        <v>92.592592592592581</v>
      </c>
      <c r="G43" s="59"/>
      <c r="H43" s="59">
        <f>IFERROR($E$8*VLOOKUP($D43,'Coverage Rates'!$A$13:$R$21,SynTec_FAST!H$37,0),"")</f>
        <v>92.592592592592581</v>
      </c>
      <c r="I43" s="60">
        <f>IFERROR($E$8*VLOOKUP($D43,'Coverage Rates'!$A$13:$R$21,SynTec_FAST!I$37,0),"")</f>
        <v>92.592592592592581</v>
      </c>
      <c r="L43"/>
    </row>
    <row r="44" spans="2:12" ht="15" hidden="1" customHeight="1" x14ac:dyDescent="0.25">
      <c r="B44" s="257"/>
      <c r="C44" s="258"/>
      <c r="D44" s="53" t="s">
        <v>104</v>
      </c>
      <c r="E44" s="59"/>
      <c r="F44" s="59">
        <f>IFERROR($E$8*VLOOKUP($D44,'Coverage Rates'!$A$13:$R$21,SynTec_FAST!F$37,0),"")</f>
        <v>70.891203703703709</v>
      </c>
      <c r="G44" s="59"/>
      <c r="H44" s="59">
        <f>IFERROR($E$8*VLOOKUP($D44,'Coverage Rates'!$A$13:$R$21,SynTec_FAST!H$37,0),"")</f>
        <v>70.891203703703709</v>
      </c>
      <c r="I44" s="60">
        <f>IFERROR($E$8*VLOOKUP($D44,'Coverage Rates'!$A$13:$R$21,SynTec_FAST!I$37,0),"")</f>
        <v>70.891203703703709</v>
      </c>
      <c r="L44"/>
    </row>
    <row r="45" spans="2:12" ht="15" hidden="1" customHeight="1" x14ac:dyDescent="0.25">
      <c r="B45" s="257"/>
      <c r="C45" s="258"/>
      <c r="D45" s="53" t="s">
        <v>43</v>
      </c>
      <c r="E45" s="59"/>
      <c r="F45" s="240"/>
      <c r="G45" s="59"/>
      <c r="H45" s="59">
        <f>IFERROR($E$8*VLOOKUP($D45,'Coverage Rates'!$A$13:$R$21,SynTec_FAST!H$37,0),"")</f>
        <v>82.465277777777786</v>
      </c>
      <c r="I45" s="60">
        <f>IFERROR($E$8*VLOOKUP($D45,'Coverage Rates'!$A$13:$R$21,SynTec_FAST!I$37,0),"")</f>
        <v>82.465277777777786</v>
      </c>
      <c r="L45"/>
    </row>
    <row r="46" spans="2:12" ht="18.75" hidden="1" customHeight="1" x14ac:dyDescent="0.25">
      <c r="B46" s="153"/>
      <c r="C46" s="154"/>
      <c r="D46" s="53" t="s">
        <v>108</v>
      </c>
      <c r="E46" s="59"/>
      <c r="F46" s="240"/>
      <c r="G46" s="59"/>
      <c r="H46" s="59">
        <f>IFERROR($E$8*VLOOKUP($D46,'Coverage Rates'!$A$13:$R$21,SynTec_FAST!H$37,0),"")</f>
        <v>75.231481481481467</v>
      </c>
      <c r="I46" s="60">
        <f>IFERROR($E$8*VLOOKUP($D46,'Coverage Rates'!$A$13:$R$21,SynTec_FAST!I$37,0),"")</f>
        <v>75.231481481481467</v>
      </c>
      <c r="L46"/>
    </row>
    <row r="47" spans="2:12" ht="10.5" customHeight="1" thickBot="1" x14ac:dyDescent="0.3">
      <c r="B47" s="55"/>
      <c r="C47" s="53"/>
      <c r="D47" s="53"/>
      <c r="E47" s="53"/>
      <c r="F47" s="53"/>
      <c r="G47" s="53"/>
      <c r="H47" s="53"/>
      <c r="I47" s="175"/>
      <c r="L47"/>
    </row>
    <row r="48" spans="2:12" ht="15" customHeight="1" x14ac:dyDescent="0.25">
      <c r="B48" s="248" t="s">
        <v>56</v>
      </c>
      <c r="C48" s="254"/>
      <c r="D48" s="75" t="s">
        <v>40</v>
      </c>
      <c r="E48" s="76" t="str">
        <f>IF(E12="Full Spray","N/A",IF(E27="","",E27+E$25))</f>
        <v/>
      </c>
      <c r="F48" s="76" t="str">
        <f t="shared" ref="F48:I50" si="4">IF(F27="","",F27+F$25)</f>
        <v/>
      </c>
      <c r="G48" s="76" t="str">
        <f t="shared" si="4"/>
        <v/>
      </c>
      <c r="H48" s="76" t="str">
        <f t="shared" si="4"/>
        <v/>
      </c>
      <c r="I48" s="77" t="str">
        <f t="shared" si="4"/>
        <v/>
      </c>
      <c r="L48"/>
    </row>
    <row r="49" spans="2:14" ht="15" customHeight="1" x14ac:dyDescent="0.25">
      <c r="B49" s="250"/>
      <c r="C49" s="255"/>
      <c r="D49" s="67" t="s">
        <v>41</v>
      </c>
      <c r="E49" s="68" t="str">
        <f t="shared" ref="E49:E56" si="5">IF(E28="","",E28+E$25)</f>
        <v/>
      </c>
      <c r="F49" s="68" t="str">
        <f>IF(E12="Full Spray","N/A",IF(F28="","",F28+F$25))</f>
        <v/>
      </c>
      <c r="G49" s="68" t="str">
        <f t="shared" si="4"/>
        <v/>
      </c>
      <c r="H49" s="68" t="str">
        <f t="shared" si="4"/>
        <v/>
      </c>
      <c r="I49" s="69" t="str">
        <f t="shared" si="4"/>
        <v/>
      </c>
      <c r="L49"/>
    </row>
    <row r="50" spans="2:14" ht="15" customHeight="1" x14ac:dyDescent="0.25">
      <c r="B50" s="250"/>
      <c r="C50" s="255"/>
      <c r="D50" s="78" t="s">
        <v>0</v>
      </c>
      <c r="E50" s="79" t="str">
        <f t="shared" si="5"/>
        <v/>
      </c>
      <c r="F50" s="79" t="str">
        <f t="shared" si="4"/>
        <v/>
      </c>
      <c r="G50" s="79">
        <f>IF(E12="Full Spray","N/A",IF(G29="","",G29+G$25))</f>
        <v>301472.96840277774</v>
      </c>
      <c r="H50" s="79" t="str">
        <f t="shared" si="4"/>
        <v/>
      </c>
      <c r="I50" s="80" t="str">
        <f t="shared" si="4"/>
        <v/>
      </c>
      <c r="L50"/>
    </row>
    <row r="51" spans="2:14" ht="15" customHeight="1" x14ac:dyDescent="0.25">
      <c r="B51" s="250"/>
      <c r="C51" s="255"/>
      <c r="D51" s="67" t="s">
        <v>105</v>
      </c>
      <c r="E51" s="68" t="str">
        <f t="shared" si="5"/>
        <v/>
      </c>
      <c r="F51" s="68">
        <f t="shared" ref="F51:G53" si="6">IF(F30="","",F30+F$25)</f>
        <v>246766.94444444444</v>
      </c>
      <c r="G51" s="68" t="str">
        <f t="shared" si="6"/>
        <v/>
      </c>
      <c r="H51" s="68">
        <f t="shared" ref="H51:I51" si="7">IF(H30="","",H30+H$25)</f>
        <v>193584.90444444443</v>
      </c>
      <c r="I51" s="69" t="str">
        <f t="shared" si="7"/>
        <v/>
      </c>
      <c r="L51"/>
    </row>
    <row r="52" spans="2:14" ht="15" customHeight="1" x14ac:dyDescent="0.25">
      <c r="B52" s="250"/>
      <c r="C52" s="255"/>
      <c r="D52" s="78" t="s">
        <v>42</v>
      </c>
      <c r="E52" s="79" t="str">
        <f t="shared" si="5"/>
        <v/>
      </c>
      <c r="F52" s="79">
        <f t="shared" si="6"/>
        <v>246766.94444444444</v>
      </c>
      <c r="G52" s="79" t="str">
        <f t="shared" si="6"/>
        <v/>
      </c>
      <c r="H52" s="79">
        <f>IF(H31="","",H31+H$25)</f>
        <v>193584.90444444443</v>
      </c>
      <c r="I52" s="80" t="str">
        <f>IF(I31="","",I31+I$25)</f>
        <v/>
      </c>
      <c r="L52"/>
    </row>
    <row r="53" spans="2:14" ht="15" customHeight="1" x14ac:dyDescent="0.25">
      <c r="B53" s="250"/>
      <c r="C53" s="255"/>
      <c r="D53" s="67" t="s">
        <v>123</v>
      </c>
      <c r="E53" s="68" t="str">
        <f t="shared" si="5"/>
        <v/>
      </c>
      <c r="F53" s="68">
        <f t="shared" si="6"/>
        <v>246766.94444444444</v>
      </c>
      <c r="G53" s="68" t="str">
        <f t="shared" si="6"/>
        <v/>
      </c>
      <c r="H53" s="68">
        <f>IF(H32="","",H32+H$25)</f>
        <v>193584.90444444443</v>
      </c>
      <c r="I53" s="69">
        <f>IF(I32="","",I32+I$25)</f>
        <v>179324.44444444444</v>
      </c>
      <c r="L53"/>
    </row>
    <row r="54" spans="2:14" ht="15" customHeight="1" x14ac:dyDescent="0.25">
      <c r="B54" s="250"/>
      <c r="C54" s="255"/>
      <c r="D54" s="78" t="s">
        <v>104</v>
      </c>
      <c r="E54" s="79" t="str">
        <f t="shared" si="5"/>
        <v/>
      </c>
      <c r="F54" s="79">
        <f t="shared" ref="F54:I56" si="8">IF(F33="","",F33+F$25)</f>
        <v>246766.94444444444</v>
      </c>
      <c r="G54" s="79" t="str">
        <f t="shared" si="8"/>
        <v/>
      </c>
      <c r="H54" s="79">
        <f t="shared" si="8"/>
        <v>192499.29246527777</v>
      </c>
      <c r="I54" s="80">
        <f t="shared" si="8"/>
        <v>178238.83246527778</v>
      </c>
      <c r="L54"/>
    </row>
    <row r="55" spans="2:14" ht="15" customHeight="1" x14ac:dyDescent="0.25">
      <c r="B55" s="250"/>
      <c r="C55" s="255"/>
      <c r="D55" s="67" t="s">
        <v>130</v>
      </c>
      <c r="E55" s="68" t="str">
        <f t="shared" si="5"/>
        <v/>
      </c>
      <c r="F55" s="68" t="str">
        <f t="shared" ref="F55:G56" si="9">IF(F34="","",F34+F$25)</f>
        <v/>
      </c>
      <c r="G55" s="68" t="str">
        <f t="shared" si="9"/>
        <v/>
      </c>
      <c r="H55" s="68">
        <f>IF(H34="","",H34+H$25)</f>
        <v>193078.28552083333</v>
      </c>
      <c r="I55" s="69">
        <f>IF(I34="","",I34+I$25)</f>
        <v>178817.82552083334</v>
      </c>
      <c r="L55"/>
    </row>
    <row r="56" spans="2:14" ht="15" customHeight="1" thickBot="1" x14ac:dyDescent="0.3">
      <c r="B56" s="252"/>
      <c r="C56" s="256"/>
      <c r="D56" s="81" t="s">
        <v>129</v>
      </c>
      <c r="E56" s="82" t="str">
        <f t="shared" si="5"/>
        <v/>
      </c>
      <c r="F56" s="82" t="str">
        <f t="shared" si="9"/>
        <v/>
      </c>
      <c r="G56" s="82" t="str">
        <f t="shared" si="9"/>
        <v/>
      </c>
      <c r="H56" s="82" t="str">
        <f t="shared" si="8"/>
        <v/>
      </c>
      <c r="I56" s="83" t="str">
        <f t="shared" si="8"/>
        <v/>
      </c>
      <c r="L56"/>
    </row>
    <row r="57" spans="2:14" ht="7.5" customHeight="1" x14ac:dyDescent="0.25">
      <c r="B57" s="53"/>
      <c r="C57" s="53"/>
      <c r="D57" s="53"/>
      <c r="E57" s="53"/>
      <c r="F57" s="53"/>
      <c r="G57" s="53"/>
      <c r="H57" s="53"/>
      <c r="I57" s="53"/>
      <c r="L57"/>
    </row>
    <row r="58" spans="2:14" ht="12.75" customHeight="1" x14ac:dyDescent="0.25">
      <c r="B58" s="70" t="s">
        <v>60</v>
      </c>
      <c r="C58" s="70"/>
      <c r="D58" s="70"/>
      <c r="E58" s="70"/>
      <c r="F58" s="70"/>
      <c r="G58" s="70"/>
      <c r="H58" s="70"/>
      <c r="I58" s="70"/>
      <c r="L58"/>
    </row>
    <row r="59" spans="2:14" ht="12" customHeight="1" x14ac:dyDescent="0.25">
      <c r="B59" s="259" t="s">
        <v>64</v>
      </c>
      <c r="C59" s="259"/>
      <c r="D59" s="259"/>
      <c r="E59" s="259"/>
      <c r="F59" s="259"/>
      <c r="G59" s="259"/>
      <c r="H59" s="259"/>
      <c r="I59" s="259"/>
      <c r="J59" s="50"/>
      <c r="K59" s="50"/>
      <c r="L59"/>
      <c r="M59" s="50"/>
      <c r="N59" s="50"/>
    </row>
    <row r="60" spans="2:14" ht="12" customHeight="1" x14ac:dyDescent="0.25">
      <c r="B60" s="259"/>
      <c r="C60" s="259"/>
      <c r="D60" s="259"/>
      <c r="E60" s="259"/>
      <c r="F60" s="259"/>
      <c r="G60" s="259"/>
      <c r="H60" s="259"/>
      <c r="I60" s="259"/>
      <c r="J60" s="50"/>
      <c r="K60" s="50"/>
      <c r="L60"/>
      <c r="M60" s="50"/>
      <c r="N60" s="50"/>
    </row>
    <row r="61" spans="2:14" ht="12" customHeight="1" x14ac:dyDescent="0.25">
      <c r="B61" s="259"/>
      <c r="C61" s="259"/>
      <c r="D61" s="259"/>
      <c r="E61" s="259"/>
      <c r="F61" s="259"/>
      <c r="G61" s="259"/>
      <c r="H61" s="259"/>
      <c r="I61" s="259"/>
      <c r="J61" s="50"/>
      <c r="K61" s="50"/>
      <c r="L61"/>
      <c r="M61" s="50"/>
      <c r="N61" s="50"/>
    </row>
    <row r="62" spans="2:14" ht="15" x14ac:dyDescent="0.25">
      <c r="L62"/>
    </row>
    <row r="63" spans="2:14" ht="15" x14ac:dyDescent="0.25">
      <c r="L63"/>
    </row>
    <row r="64" spans="2:14" ht="15" x14ac:dyDescent="0.25">
      <c r="L64"/>
    </row>
    <row r="65" spans="12:12" ht="15" x14ac:dyDescent="0.25">
      <c r="L65"/>
    </row>
    <row r="66" spans="12:12" ht="15" x14ac:dyDescent="0.25">
      <c r="L66"/>
    </row>
  </sheetData>
  <sheetProtection formatCells="0" formatColumns="0" formatRows="0"/>
  <mergeCells count="5">
    <mergeCell ref="B21:C25"/>
    <mergeCell ref="B27:C35"/>
    <mergeCell ref="B38:C45"/>
    <mergeCell ref="B48:C56"/>
    <mergeCell ref="B59:I61"/>
  </mergeCells>
  <dataValidations count="1">
    <dataValidation type="list" allowBlank="1" showInputMessage="1" showErrorMessage="1" sqref="E12" xr:uid="{00000000-0002-0000-0300-000001000000}">
      <formula1>$V$3:$V$7</formula1>
    </dataValidation>
  </dataValidations>
  <printOptions horizontalCentered="1" verticalCentered="1"/>
  <pageMargins left="0.1" right="0.1" top="0.35" bottom="0.25" header="0.3" footer="0.3"/>
  <pageSetup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3"/>
  <sheetViews>
    <sheetView workbookViewId="0">
      <selection activeCell="A4" sqref="A4"/>
    </sheetView>
  </sheetViews>
  <sheetFormatPr defaultColWidth="37.140625" defaultRowHeight="15" x14ac:dyDescent="0.25"/>
  <cols>
    <col min="1" max="1" width="37.28515625" bestFit="1" customWidth="1"/>
    <col min="2" max="2" width="14.28515625" bestFit="1" customWidth="1"/>
    <col min="3" max="19" width="12.5703125" bestFit="1" customWidth="1"/>
  </cols>
  <sheetData>
    <row r="1" spans="1:19" x14ac:dyDescent="0.25">
      <c r="B1" t="str">
        <f>$B$2&amp;B3</f>
        <v>Dual Cartrigde4</v>
      </c>
      <c r="C1" t="str">
        <f t="shared" ref="C1:D1" si="0">$B$2&amp;C3</f>
        <v>Dual Cartrigde6</v>
      </c>
      <c r="D1" t="str">
        <f t="shared" si="0"/>
        <v>Dual Cartrigde12</v>
      </c>
    </row>
    <row r="2" spans="1:19" x14ac:dyDescent="0.25">
      <c r="A2" t="s">
        <v>10</v>
      </c>
      <c r="B2" s="260" t="s">
        <v>46</v>
      </c>
      <c r="C2" s="260"/>
      <c r="D2" s="260"/>
      <c r="E2" s="268" t="s">
        <v>9</v>
      </c>
      <c r="F2" s="268"/>
      <c r="G2" s="268"/>
      <c r="H2" s="261" t="s">
        <v>16</v>
      </c>
      <c r="I2" s="262"/>
      <c r="J2" s="263"/>
      <c r="K2" s="267" t="s">
        <v>0</v>
      </c>
      <c r="L2" s="267"/>
      <c r="M2" s="267"/>
      <c r="N2" s="269" t="s">
        <v>7</v>
      </c>
      <c r="O2" s="270"/>
      <c r="P2" s="271"/>
      <c r="Q2" s="267" t="s">
        <v>6</v>
      </c>
      <c r="R2" s="267"/>
      <c r="S2" s="267"/>
    </row>
    <row r="3" spans="1:19" x14ac:dyDescent="0.25">
      <c r="A3" s="4"/>
      <c r="B3" s="12">
        <v>4</v>
      </c>
      <c r="C3" s="10">
        <v>6</v>
      </c>
      <c r="D3" s="14">
        <v>12</v>
      </c>
      <c r="E3" s="12">
        <v>4</v>
      </c>
      <c r="F3" s="10">
        <v>6</v>
      </c>
      <c r="G3" s="14">
        <v>12</v>
      </c>
      <c r="H3" s="12">
        <v>4</v>
      </c>
      <c r="I3" s="10">
        <v>6</v>
      </c>
      <c r="J3" s="14">
        <v>12</v>
      </c>
      <c r="K3" s="12">
        <v>4</v>
      </c>
      <c r="L3" s="10">
        <v>6</v>
      </c>
      <c r="M3" s="14">
        <v>12</v>
      </c>
      <c r="N3" s="12">
        <v>4</v>
      </c>
      <c r="O3" s="10">
        <v>6</v>
      </c>
      <c r="P3" s="14">
        <v>12</v>
      </c>
      <c r="Q3" s="12">
        <v>4</v>
      </c>
      <c r="R3" s="10">
        <v>6</v>
      </c>
      <c r="S3" s="14">
        <v>12</v>
      </c>
    </row>
    <row r="4" spans="1:19" x14ac:dyDescent="0.25">
      <c r="A4" s="3" t="s">
        <v>18</v>
      </c>
      <c r="B4" s="48">
        <f>ROUNDUP(B26/'Coverage Rates'!E3,0)</f>
        <v>500</v>
      </c>
      <c r="C4" s="48">
        <f>ROUNDUP(B26/'Coverage Rates'!D3,0)</f>
        <v>334</v>
      </c>
      <c r="D4" s="48">
        <f>ROUNDUP(B26/'Coverage Rates'!C3,0)</f>
        <v>167</v>
      </c>
      <c r="E4" s="49" t="e">
        <f>ROUNDUP(B26/'Coverage Rates'!#REF!,0)</f>
        <v>#REF!</v>
      </c>
      <c r="F4" s="49" t="e">
        <f>ROUNDUP(B26/'Coverage Rates'!#REF!,0)</f>
        <v>#REF!</v>
      </c>
      <c r="G4" s="49" t="e">
        <f>ROUNDUP(B26/'Coverage Rates'!#REF!,0)</f>
        <v>#REF!</v>
      </c>
      <c r="H4" s="48">
        <f>ROUNDUP(B26/'Coverage Rates'!E4,0)</f>
        <v>112</v>
      </c>
      <c r="I4" s="48">
        <f>ROUNDUP(B26/'Coverage Rates'!D4,0)</f>
        <v>80</v>
      </c>
      <c r="J4" s="48">
        <f>SUM(B26/'Coverage Rates'!C4)</f>
        <v>40</v>
      </c>
      <c r="K4" s="49">
        <f>SUM(B26/'Coverage Rates'!E5)</f>
        <v>76.92307692307692</v>
      </c>
      <c r="L4" s="49">
        <f>SUM(B26/'Coverage Rates'!D5)</f>
        <v>52.631578947368418</v>
      </c>
      <c r="M4" s="49">
        <f>SUM(B26/'Coverage Rates'!C5)</f>
        <v>27.027027027027028</v>
      </c>
      <c r="N4" s="48">
        <f>SUM(B26/'Coverage Rates'!E6)</f>
        <v>37.037037037037038</v>
      </c>
      <c r="O4" s="48">
        <f>SUM(B26/'Coverage Rates'!D6)</f>
        <v>26.666666666666668</v>
      </c>
      <c r="P4" s="48">
        <f>SUM(B26/'Coverage Rates'!C6)</f>
        <v>13.333333333333334</v>
      </c>
      <c r="Q4" s="49">
        <f>SUM(B26/'Coverage Rates'!E7)</f>
        <v>11.111111111111111</v>
      </c>
      <c r="R4" s="49">
        <f>SUM(B26/'Coverage Rates'!D7)</f>
        <v>8</v>
      </c>
      <c r="S4" s="49">
        <f>SUM(B26/'Coverage Rates'!C7)</f>
        <v>4</v>
      </c>
    </row>
    <row r="5" spans="1:19" x14ac:dyDescent="0.25">
      <c r="A5" s="2" t="s">
        <v>5</v>
      </c>
      <c r="B5" s="11">
        <f>SUM(B29/'Coverage Rates'!B3*'Coverage Rates'!J3)</f>
        <v>1.1220000000000001</v>
      </c>
      <c r="C5" s="11">
        <f>SUM(B29/'Coverage Rates'!B3*'Coverage Rates'!I3)</f>
        <v>0.74800000000000011</v>
      </c>
      <c r="D5" s="11">
        <f>SUM(B29/'Coverage Rates'!B3*'Coverage Rates'!H3)</f>
        <v>0.37400000000000005</v>
      </c>
      <c r="E5" s="15" t="e">
        <f>SUM(#REF!/'Coverage Rates'!#REF!*'Coverage Rates'!#REF!)</f>
        <v>#REF!</v>
      </c>
      <c r="F5" s="15" t="e">
        <f>SUM(#REF!/'Coverage Rates'!#REF!*'Coverage Rates'!#REF!)</f>
        <v>#REF!</v>
      </c>
      <c r="G5" s="15" t="e">
        <f>SUM(#REF!/'Coverage Rates'!#REF!*'Coverage Rates'!#REF!)</f>
        <v>#REF!</v>
      </c>
      <c r="H5" s="13">
        <f>SUM(B30/'Coverage Rates'!B4*'Coverage Rates'!J4)</f>
        <v>0.56666666666666665</v>
      </c>
      <c r="I5" s="13">
        <f>SUM(B30/'Coverage Rates'!B4*'Coverage Rates'!I4)</f>
        <v>0.40800000000000003</v>
      </c>
      <c r="J5" s="13">
        <f>SUM(B30/'Coverage Rates'!B4*'Coverage Rates'!H4)</f>
        <v>0.20400000000000001</v>
      </c>
      <c r="K5" s="16">
        <f>SUM(B31/'Coverage Rates'!B5*'Coverage Rates'!J5)</f>
        <v>0.78461538461538471</v>
      </c>
      <c r="L5" s="16">
        <f>SUM(B31/'Coverage Rates'!B5*'Coverage Rates'!I5)</f>
        <v>0.5368421052631579</v>
      </c>
      <c r="M5" s="16">
        <f>SUM(B31/'Coverage Rates'!B5*'Coverage Rates'!H5)</f>
        <v>0.27567567567567569</v>
      </c>
      <c r="N5" s="13">
        <f>SUM(B32/'Coverage Rates'!B6*'Coverage Rates'!J6)</f>
        <v>0.41555555555555557</v>
      </c>
      <c r="O5" s="13">
        <f>SUM(B32/'Coverage Rates'!B6*'Coverage Rates'!I6)</f>
        <v>0.29920000000000002</v>
      </c>
      <c r="P5" s="13">
        <f>SUM(B32/'Coverage Rates'!B6*'Coverage Rates'!H6)</f>
        <v>0.14960000000000001</v>
      </c>
      <c r="Q5" s="17">
        <f>SUM(B33/'Coverage Rates'!B7*'Coverage Rates'!J7)</f>
        <v>0.38125333333333339</v>
      </c>
      <c r="R5" s="17">
        <f>SUM(B33/'Coverage Rates'!B7*'Coverage Rates'!I7)</f>
        <v>0.27450240000000004</v>
      </c>
      <c r="S5" s="17">
        <f>SUM(B33/'Coverage Rates'!B7*'Coverage Rates'!H7)</f>
        <v>0.13725120000000002</v>
      </c>
    </row>
    <row r="6" spans="1:19" x14ac:dyDescent="0.25">
      <c r="A6" s="2" t="s">
        <v>45</v>
      </c>
      <c r="B6" s="11">
        <f>SUM(B29*B4)</f>
        <v>112200</v>
      </c>
      <c r="C6" s="11">
        <f>SUM(B29*C4)</f>
        <v>74949.600000000006</v>
      </c>
      <c r="D6" s="11">
        <f>SUM(B29*D4)</f>
        <v>37474.800000000003</v>
      </c>
      <c r="E6" s="15" t="e">
        <f>SUM(#REF!*E4)</f>
        <v>#REF!</v>
      </c>
      <c r="F6" s="15" t="e">
        <f>SUM(#REF!*F4)</f>
        <v>#REF!</v>
      </c>
      <c r="G6" s="15" t="e">
        <f>SUM(#REF!*G4)</f>
        <v>#REF!</v>
      </c>
      <c r="H6" s="11">
        <f>SUM(B30*H4)</f>
        <v>57120</v>
      </c>
      <c r="I6" s="11">
        <f>SUM(B30*I4)</f>
        <v>40800</v>
      </c>
      <c r="J6" s="11">
        <f>SUM(B30*J4)</f>
        <v>20400</v>
      </c>
      <c r="K6" s="15">
        <f>SUM(B31*K4)</f>
        <v>78461.538461538454</v>
      </c>
      <c r="L6" s="15">
        <f>SUM(B31*L4)</f>
        <v>53684.210526315786</v>
      </c>
      <c r="M6" s="15">
        <f>SUM(B31*M4)</f>
        <v>27567.56756756757</v>
      </c>
      <c r="N6" s="11">
        <f>SUM(B32*N4)</f>
        <v>41555.555555555555</v>
      </c>
      <c r="O6" s="11">
        <f>SUM(B32*O4)</f>
        <v>29920</v>
      </c>
      <c r="P6" s="11">
        <f>SUM(B32*P4)</f>
        <v>14960</v>
      </c>
      <c r="Q6" s="15">
        <f>SUM(B33*Q4)</f>
        <v>38125.333333333336</v>
      </c>
      <c r="R6" s="15">
        <f>SUM(B33*R4)</f>
        <v>27450.240000000002</v>
      </c>
      <c r="S6" s="15">
        <f>SUM(B33*S4)</f>
        <v>13725.12</v>
      </c>
    </row>
    <row r="7" spans="1:19" x14ac:dyDescent="0.25">
      <c r="A7" s="23"/>
      <c r="B7" s="264" t="s">
        <v>21</v>
      </c>
      <c r="C7" s="264"/>
      <c r="D7" s="264"/>
      <c r="E7" s="264"/>
      <c r="F7" s="264"/>
      <c r="G7" s="264"/>
      <c r="H7" s="264"/>
      <c r="I7" s="264"/>
      <c r="J7" s="264"/>
      <c r="K7" s="264"/>
      <c r="L7" s="264"/>
      <c r="M7" s="264"/>
      <c r="N7" s="264"/>
      <c r="O7" s="264"/>
      <c r="P7" s="264"/>
      <c r="Q7" s="264"/>
      <c r="R7" s="264"/>
      <c r="S7" s="264"/>
    </row>
    <row r="8" spans="1:19" x14ac:dyDescent="0.25">
      <c r="A8" s="2" t="str">
        <f>'Coverage Rates'!A13</f>
        <v>Dual Cart</v>
      </c>
      <c r="B8" s="7">
        <f>SUM(B26*'Coverage Rates'!P13)</f>
        <v>44.560185185185183</v>
      </c>
      <c r="C8" s="7">
        <f>SUM(B26*'Coverage Rates'!Q13)</f>
        <v>29.706790123456784</v>
      </c>
      <c r="D8" s="7">
        <f>SUM(B26*'Coverage Rates'!R13)</f>
        <v>14.853395061728392</v>
      </c>
      <c r="E8" s="2"/>
      <c r="F8" s="2"/>
      <c r="G8" s="2"/>
      <c r="H8" s="7"/>
      <c r="I8" s="7"/>
      <c r="J8" s="7"/>
      <c r="K8" s="2"/>
      <c r="L8" s="2"/>
      <c r="M8" s="2"/>
      <c r="N8" s="7"/>
      <c r="O8" s="7"/>
      <c r="P8" s="7"/>
      <c r="Q8" s="2"/>
      <c r="R8" s="2"/>
      <c r="S8" s="2"/>
    </row>
    <row r="9" spans="1:19" x14ac:dyDescent="0.25">
      <c r="A9" s="2" t="str">
        <f>'Coverage Rates'!A14</f>
        <v>PaceCart</v>
      </c>
      <c r="B9" s="7"/>
      <c r="C9" s="7"/>
      <c r="D9" s="7"/>
      <c r="E9" s="2">
        <f>SUM(B26*'Coverage Rates'!P14)</f>
        <v>31.828703703703702</v>
      </c>
      <c r="F9" s="2">
        <f>SUM(B26*'Coverage Rates'!Q14)</f>
        <v>21.219135802469136</v>
      </c>
      <c r="G9" s="2">
        <f>SUM(B26*'Coverage Rates'!R14)</f>
        <v>10.609567901234568</v>
      </c>
      <c r="H9" s="7">
        <f>SUM(B26*'Coverage Rates'!P14)</f>
        <v>31.828703703703702</v>
      </c>
      <c r="I9" s="7">
        <f>SUM(B26*'Coverage Rates'!Q14)</f>
        <v>21.219135802469136</v>
      </c>
      <c r="J9" s="7">
        <f>SUM(B26*'Coverage Rates'!R14)</f>
        <v>10.609567901234568</v>
      </c>
      <c r="K9" s="2"/>
      <c r="L9" s="2"/>
      <c r="M9" s="2"/>
      <c r="N9" s="7">
        <f>SUM(B26*'Coverage Rates'!P14)</f>
        <v>31.828703703703702</v>
      </c>
      <c r="O9" s="7">
        <f>SUM(B26*'Coverage Rates'!Q14)</f>
        <v>21.219135802469136</v>
      </c>
      <c r="P9" s="7">
        <f>SUM(B26*'Coverage Rates'!R14)</f>
        <v>10.609567901234568</v>
      </c>
      <c r="Q9" s="2"/>
      <c r="R9" s="2"/>
      <c r="S9" s="2"/>
    </row>
    <row r="10" spans="1:19" x14ac:dyDescent="0.25">
      <c r="A10" s="2" t="str">
        <f>'Coverage Rates'!A15</f>
        <v>Dual Tank</v>
      </c>
      <c r="B10" s="7"/>
      <c r="C10" s="7"/>
      <c r="D10" s="7"/>
      <c r="E10" s="2"/>
      <c r="F10" s="2"/>
      <c r="G10" s="2"/>
      <c r="H10" s="7"/>
      <c r="I10" s="7"/>
      <c r="J10" s="7"/>
      <c r="K10" s="2">
        <f>SUM(B26*'Coverage Rates'!P15)</f>
        <v>27.199074074074076</v>
      </c>
      <c r="L10" s="2">
        <f>SUM(B26*'Coverage Rates'!Q15)</f>
        <v>18.132716049382715</v>
      </c>
      <c r="M10" s="2">
        <f>SUM(B26*'Coverage Rates'!R15)</f>
        <v>9.0663580246913575</v>
      </c>
      <c r="N10" s="7"/>
      <c r="O10" s="7"/>
      <c r="P10" s="7"/>
      <c r="Q10" s="2"/>
      <c r="R10" s="2"/>
      <c r="S10" s="2"/>
    </row>
    <row r="11" spans="1:19" x14ac:dyDescent="0.25">
      <c r="A11" s="2" t="str">
        <f>'Coverage Rates'!A16</f>
        <v>EZY Loader</v>
      </c>
      <c r="B11" s="7"/>
      <c r="C11" s="7"/>
      <c r="D11" s="7"/>
      <c r="E11" s="2">
        <f>SUM(B26*'Coverage Rates'!P16)</f>
        <v>18.518518518518519</v>
      </c>
      <c r="F11" s="2">
        <f>SUM(B26*'Coverage Rates'!Q16)</f>
        <v>12.345679012345679</v>
      </c>
      <c r="G11" s="2">
        <f>SUM(B26*'Coverage Rates'!R16)</f>
        <v>6.1728395061728394</v>
      </c>
      <c r="H11" s="7">
        <f>SUM(B26*'Coverage Rates'!P16)</f>
        <v>18.518518518518519</v>
      </c>
      <c r="I11" s="7">
        <f>SUM(B26*'Coverage Rates'!Q16)</f>
        <v>12.345679012345679</v>
      </c>
      <c r="J11" s="7">
        <f>SUM(B26*'Coverage Rates'!R16)</f>
        <v>6.1728395061728394</v>
      </c>
      <c r="K11" s="2"/>
      <c r="L11" s="2"/>
      <c r="M11" s="2"/>
      <c r="N11" s="7">
        <f>SUM(B26*'Coverage Rates'!P16)</f>
        <v>18.518518518518519</v>
      </c>
      <c r="O11" s="7">
        <f>SUM(B26*'Coverage Rates'!Q16)</f>
        <v>12.345679012345679</v>
      </c>
      <c r="P11" s="7">
        <f>SUM(B26*'Coverage Rates'!R16)</f>
        <v>6.1728395061728394</v>
      </c>
      <c r="Q11" s="2"/>
      <c r="R11" s="2"/>
      <c r="S11" s="2"/>
    </row>
    <row r="12" spans="1:19" x14ac:dyDescent="0.25">
      <c r="A12" s="2" t="str">
        <f>'Coverage Rates'!A17</f>
        <v>Patriot Jr</v>
      </c>
      <c r="B12" s="7"/>
      <c r="C12" s="7"/>
      <c r="D12" s="7"/>
      <c r="E12" s="2">
        <f>SUM(B26*'Coverage Rates'!P17)</f>
        <v>18.518518518518519</v>
      </c>
      <c r="F12" s="2">
        <f>SUM(B26*'Coverage Rates'!Q17)</f>
        <v>12.345679012345679</v>
      </c>
      <c r="G12" s="2">
        <f>SUM(B26*'Coverage Rates'!R17)</f>
        <v>6.1728395061728394</v>
      </c>
      <c r="H12" s="7">
        <f>SUM(B26*'Coverage Rates'!P17)</f>
        <v>18.518518518518519</v>
      </c>
      <c r="I12" s="7">
        <f>SUM(B26*'Coverage Rates'!Q17)</f>
        <v>12.345679012345679</v>
      </c>
      <c r="J12" s="7">
        <f>SUM(B26*'Coverage Rates'!R17)</f>
        <v>6.1728395061728394</v>
      </c>
      <c r="K12" s="2"/>
      <c r="L12" s="2"/>
      <c r="M12" s="2"/>
      <c r="N12" s="7">
        <f>SUM(B26*'Coverage Rates'!P17)</f>
        <v>18.518518518518519</v>
      </c>
      <c r="O12" s="7">
        <f>SUM(B26*'Coverage Rates'!Q17)</f>
        <v>12.345679012345679</v>
      </c>
      <c r="P12" s="7">
        <f>SUM(B26*'Coverage Rates'!R17)</f>
        <v>6.1728395061728394</v>
      </c>
      <c r="Q12" s="2"/>
      <c r="R12" s="2"/>
      <c r="S12" s="2"/>
    </row>
    <row r="13" spans="1:19" x14ac:dyDescent="0.25">
      <c r="A13" s="2" t="str">
        <f>'Coverage Rates'!A19</f>
        <v>HULK</v>
      </c>
      <c r="B13" s="7"/>
      <c r="C13" s="7"/>
      <c r="D13" s="7"/>
      <c r="E13" s="2"/>
      <c r="F13" s="2"/>
      <c r="G13" s="2"/>
      <c r="H13" s="7"/>
      <c r="I13" s="7"/>
      <c r="J13" s="7"/>
      <c r="K13" s="2"/>
      <c r="L13" s="2"/>
      <c r="M13" s="2"/>
      <c r="N13" s="7">
        <f>SUM(B25*'Coverage Rates'!P19)</f>
        <v>0</v>
      </c>
      <c r="O13" s="7">
        <f>SUM(B25*'Coverage Rates'!Q19)</f>
        <v>0</v>
      </c>
      <c r="P13" s="7">
        <f>SUM(Calculator!B25*'Coverage Rates'!R19)</f>
        <v>0</v>
      </c>
      <c r="Q13" s="2">
        <f>SUM(B25*'Coverage Rates'!P19)</f>
        <v>0</v>
      </c>
      <c r="R13" s="2">
        <f>SUM(B25*'Coverage Rates'!Q19)</f>
        <v>0</v>
      </c>
      <c r="S13" s="2">
        <f>SUM(B25*'Coverage Rates'!R19)</f>
        <v>0</v>
      </c>
    </row>
    <row r="14" spans="1:19" x14ac:dyDescent="0.25">
      <c r="A14" s="2" t="str">
        <f>'Coverage Rates'!A20</f>
        <v>Predator Fusion AR5252</v>
      </c>
      <c r="B14" s="7"/>
      <c r="C14" s="7"/>
      <c r="D14" s="7"/>
      <c r="E14" s="2"/>
      <c r="F14" s="2"/>
      <c r="G14" s="2"/>
      <c r="H14" s="7"/>
      <c r="I14" s="7"/>
      <c r="J14" s="7"/>
      <c r="K14" s="2"/>
      <c r="L14" s="2"/>
      <c r="M14" s="2"/>
      <c r="N14" s="7">
        <f>SUM(B26*'Coverage Rates'!P20)</f>
        <v>16.493055555555557</v>
      </c>
      <c r="O14" s="7">
        <f>SUM(B26*'Coverage Rates'!Q20)</f>
        <v>10.99537037037037</v>
      </c>
      <c r="P14" s="7">
        <f>SUM(Calculator!B26*'Coverage Rates'!R20)</f>
        <v>5.4976851851851851</v>
      </c>
      <c r="Q14" s="2">
        <f>SUM(B26*'Coverage Rates'!P20)</f>
        <v>16.493055555555557</v>
      </c>
      <c r="R14" s="2">
        <f>SUM(B26*'Coverage Rates'!Q20)</f>
        <v>10.99537037037037</v>
      </c>
      <c r="S14" s="2">
        <f>SUM(B26*'Coverage Rates'!R20)</f>
        <v>5.4976851851851851</v>
      </c>
    </row>
    <row r="15" spans="1:19" x14ac:dyDescent="0.25">
      <c r="B15" s="265" t="s">
        <v>22</v>
      </c>
      <c r="C15" s="265"/>
      <c r="D15" s="265"/>
      <c r="E15" s="265"/>
      <c r="F15" s="265"/>
      <c r="G15" s="265"/>
      <c r="H15" s="265"/>
      <c r="I15" s="265"/>
      <c r="J15" s="265"/>
      <c r="K15" s="265"/>
      <c r="L15" s="265"/>
      <c r="M15" s="265"/>
      <c r="N15" s="265"/>
      <c r="O15" s="265"/>
      <c r="P15" s="265"/>
      <c r="Q15" s="265"/>
      <c r="R15" s="265"/>
      <c r="S15" s="265"/>
    </row>
    <row r="16" spans="1:19" x14ac:dyDescent="0.25">
      <c r="A16" s="6" t="str">
        <f>'Coverage Rates'!A13</f>
        <v>Dual Cart</v>
      </c>
      <c r="B16" s="71">
        <f>SUM(B8*B27)</f>
        <v>3342.0138888888887</v>
      </c>
      <c r="C16" s="71">
        <f>SUM(C8*B27)</f>
        <v>2228.0092592592587</v>
      </c>
      <c r="D16" s="71">
        <f>SUM(D8*B27)</f>
        <v>1114.0046296296293</v>
      </c>
      <c r="E16" s="72"/>
      <c r="F16" s="72"/>
      <c r="G16" s="72"/>
      <c r="H16" s="71"/>
      <c r="I16" s="71"/>
      <c r="J16" s="71"/>
      <c r="K16" s="72"/>
      <c r="L16" s="72"/>
      <c r="M16" s="72"/>
      <c r="N16" s="71"/>
      <c r="O16" s="71"/>
      <c r="P16" s="71"/>
      <c r="Q16" s="72"/>
      <c r="R16" s="72"/>
      <c r="S16" s="72"/>
    </row>
    <row r="17" spans="1:19" x14ac:dyDescent="0.25">
      <c r="A17" s="6" t="str">
        <f>'Coverage Rates'!A14</f>
        <v>PaceCart</v>
      </c>
      <c r="B17" s="71"/>
      <c r="C17" s="71"/>
      <c r="D17" s="71"/>
      <c r="E17" s="72">
        <f>SUM(E9*B27)</f>
        <v>2387.1527777777778</v>
      </c>
      <c r="F17" s="72">
        <f>SUM(F9*B27)</f>
        <v>1591.4351851851852</v>
      </c>
      <c r="G17" s="72">
        <f>SUM(G9*B27)</f>
        <v>795.71759259259261</v>
      </c>
      <c r="H17" s="71">
        <f>SUM(H9*B27)</f>
        <v>2387.1527777777778</v>
      </c>
      <c r="I17" s="71">
        <f>SUM(I9*B27)</f>
        <v>1591.4351851851852</v>
      </c>
      <c r="J17" s="71">
        <f>SUM(J9*B27)</f>
        <v>795.71759259259261</v>
      </c>
      <c r="K17" s="72"/>
      <c r="L17" s="72"/>
      <c r="M17" s="72"/>
      <c r="N17" s="71">
        <f>SUM(N9*B27)</f>
        <v>2387.1527777777778</v>
      </c>
      <c r="O17" s="71">
        <f>SUM(O9*B27)</f>
        <v>1591.4351851851852</v>
      </c>
      <c r="P17" s="71">
        <f>SUM(P9*B27)</f>
        <v>795.71759259259261</v>
      </c>
      <c r="Q17" s="72"/>
      <c r="R17" s="72"/>
      <c r="S17" s="72"/>
    </row>
    <row r="18" spans="1:19" x14ac:dyDescent="0.25">
      <c r="A18" s="6" t="str">
        <f>'Coverage Rates'!A15</f>
        <v>Dual Tank</v>
      </c>
      <c r="B18" s="71"/>
      <c r="C18" s="71"/>
      <c r="D18" s="71"/>
      <c r="E18" s="72"/>
      <c r="F18" s="72"/>
      <c r="G18" s="72"/>
      <c r="H18" s="71"/>
      <c r="I18" s="71"/>
      <c r="J18" s="71"/>
      <c r="K18" s="72">
        <f>SUM(K10*B27)</f>
        <v>2039.9305555555557</v>
      </c>
      <c r="L18" s="72">
        <f>SUM(L10*B27)</f>
        <v>1359.9537037037037</v>
      </c>
      <c r="M18" s="72">
        <f>SUM(M10*B27)</f>
        <v>679.97685185185185</v>
      </c>
      <c r="N18" s="71"/>
      <c r="O18" s="71"/>
      <c r="P18" s="71"/>
      <c r="Q18" s="72"/>
      <c r="R18" s="72"/>
      <c r="S18" s="72"/>
    </row>
    <row r="19" spans="1:19" x14ac:dyDescent="0.25">
      <c r="A19" s="6" t="str">
        <f>'Coverage Rates'!A16</f>
        <v>EZY Loader</v>
      </c>
      <c r="B19" s="71"/>
      <c r="C19" s="71"/>
      <c r="D19" s="71"/>
      <c r="E19" s="72">
        <f>SUM(E11*$B$27)</f>
        <v>1388.8888888888889</v>
      </c>
      <c r="F19" s="72">
        <f t="shared" ref="F19:J19" si="1">SUM(F11*$B$27)</f>
        <v>925.92592592592587</v>
      </c>
      <c r="G19" s="72">
        <f t="shared" si="1"/>
        <v>462.96296296296293</v>
      </c>
      <c r="H19" s="71">
        <f t="shared" si="1"/>
        <v>1388.8888888888889</v>
      </c>
      <c r="I19" s="71">
        <f t="shared" si="1"/>
        <v>925.92592592592587</v>
      </c>
      <c r="J19" s="71">
        <f t="shared" si="1"/>
        <v>462.96296296296293</v>
      </c>
      <c r="K19" s="72"/>
      <c r="L19" s="72"/>
      <c r="M19" s="72"/>
      <c r="N19" s="71">
        <f t="shared" ref="N19:P19" si="2">SUM(N11*$B$27)</f>
        <v>1388.8888888888889</v>
      </c>
      <c r="O19" s="71">
        <f t="shared" si="2"/>
        <v>925.92592592592587</v>
      </c>
      <c r="P19" s="71">
        <f t="shared" si="2"/>
        <v>462.96296296296293</v>
      </c>
      <c r="Q19" s="72"/>
      <c r="R19" s="72"/>
      <c r="S19" s="72"/>
    </row>
    <row r="20" spans="1:19" x14ac:dyDescent="0.25">
      <c r="A20" s="6" t="str">
        <f>'Coverage Rates'!A17</f>
        <v>Patriot Jr</v>
      </c>
      <c r="B20" s="71"/>
      <c r="C20" s="71"/>
      <c r="D20" s="71"/>
      <c r="E20" s="72">
        <f>SUM(E12*B27)</f>
        <v>1388.8888888888889</v>
      </c>
      <c r="F20" s="72">
        <f>SUM(F12*B27)</f>
        <v>925.92592592592587</v>
      </c>
      <c r="G20" s="72">
        <f>SUM(G12*B27)</f>
        <v>462.96296296296293</v>
      </c>
      <c r="H20" s="71">
        <f>SUM(H12*B27)</f>
        <v>1388.8888888888889</v>
      </c>
      <c r="I20" s="71">
        <f>SUM(I12*B27)</f>
        <v>925.92592592592587</v>
      </c>
      <c r="J20" s="71">
        <f>SUM(J12*B27)</f>
        <v>462.96296296296293</v>
      </c>
      <c r="K20" s="72"/>
      <c r="L20" s="72"/>
      <c r="M20" s="72"/>
      <c r="N20" s="71">
        <f>SUM(N12*B27)</f>
        <v>1388.8888888888889</v>
      </c>
      <c r="O20" s="71">
        <f>SUM(O12*B27)</f>
        <v>925.92592592592587</v>
      </c>
      <c r="P20" s="71">
        <f>SUM(P12*B27)</f>
        <v>462.96296296296293</v>
      </c>
      <c r="Q20" s="72"/>
      <c r="R20" s="72"/>
      <c r="S20" s="72"/>
    </row>
    <row r="21" spans="1:19" x14ac:dyDescent="0.25">
      <c r="A21" s="6" t="str">
        <f>'Coverage Rates'!A19</f>
        <v>HULK</v>
      </c>
      <c r="B21" s="73"/>
      <c r="C21" s="73"/>
      <c r="D21" s="73"/>
      <c r="E21" s="74"/>
      <c r="F21" s="74"/>
      <c r="G21" s="74"/>
      <c r="H21" s="73"/>
      <c r="I21" s="73"/>
      <c r="J21" s="73"/>
      <c r="K21" s="74"/>
      <c r="L21" s="74"/>
      <c r="M21" s="74"/>
      <c r="N21" s="71">
        <f t="shared" ref="N21:S21" si="3">N22</f>
        <v>1236.9791666666667</v>
      </c>
      <c r="O21" s="71">
        <f t="shared" si="3"/>
        <v>824.65277777777771</v>
      </c>
      <c r="P21" s="71">
        <f t="shared" si="3"/>
        <v>412.32638888888886</v>
      </c>
      <c r="Q21" s="71">
        <f t="shared" si="3"/>
        <v>1236.9791666666667</v>
      </c>
      <c r="R21" s="71">
        <f t="shared" si="3"/>
        <v>824.65277777777771</v>
      </c>
      <c r="S21" s="71">
        <f t="shared" si="3"/>
        <v>412.32638888888886</v>
      </c>
    </row>
    <row r="22" spans="1:19" x14ac:dyDescent="0.25">
      <c r="A22" s="6" t="str">
        <f>'Coverage Rates'!A20</f>
        <v>Predator Fusion AR5252</v>
      </c>
      <c r="B22" s="73"/>
      <c r="C22" s="73"/>
      <c r="D22" s="73"/>
      <c r="E22" s="74"/>
      <c r="F22" s="74"/>
      <c r="G22" s="74"/>
      <c r="H22" s="73"/>
      <c r="I22" s="73"/>
      <c r="J22" s="73"/>
      <c r="K22" s="74"/>
      <c r="L22" s="74"/>
      <c r="M22" s="74"/>
      <c r="N22" s="71">
        <f>SUM(N14*B27)</f>
        <v>1236.9791666666667</v>
      </c>
      <c r="O22" s="71">
        <f>SUM(O14*B27)</f>
        <v>824.65277777777771</v>
      </c>
      <c r="P22" s="71">
        <f>SUM(P14*B27)</f>
        <v>412.32638888888886</v>
      </c>
      <c r="Q22" s="74">
        <f>SUM(Q14*B27)</f>
        <v>1236.9791666666667</v>
      </c>
      <c r="R22" s="74">
        <f>SUM(R14*B27)</f>
        <v>824.65277777777771</v>
      </c>
      <c r="S22" s="74">
        <f>SUM(S14*B27)</f>
        <v>412.32638888888886</v>
      </c>
    </row>
    <row r="25" spans="1:19" x14ac:dyDescent="0.25">
      <c r="A25" s="5" t="s">
        <v>4</v>
      </c>
      <c r="B25" s="5"/>
      <c r="C25" s="5"/>
      <c r="D25" s="5"/>
    </row>
    <row r="26" spans="1:19" x14ac:dyDescent="0.25">
      <c r="A26" s="1" t="s">
        <v>3</v>
      </c>
      <c r="B26" s="18">
        <v>100000</v>
      </c>
      <c r="C26" s="8"/>
      <c r="D26" s="8"/>
    </row>
    <row r="27" spans="1:19" x14ac:dyDescent="0.25">
      <c r="A27" t="s">
        <v>19</v>
      </c>
      <c r="B27" s="40">
        <v>75</v>
      </c>
      <c r="C27" s="8"/>
      <c r="D27" s="8"/>
    </row>
    <row r="28" spans="1:19" x14ac:dyDescent="0.25">
      <c r="A28" t="s">
        <v>2</v>
      </c>
      <c r="B28" t="s">
        <v>1</v>
      </c>
    </row>
    <row r="29" spans="1:19" x14ac:dyDescent="0.25">
      <c r="A29" t="s">
        <v>8</v>
      </c>
      <c r="B29" s="19">
        <v>224.4</v>
      </c>
    </row>
    <row r="30" spans="1:19" x14ac:dyDescent="0.25">
      <c r="A30" t="s">
        <v>44</v>
      </c>
      <c r="B30" s="20">
        <v>510</v>
      </c>
      <c r="C30" s="9"/>
      <c r="D30" s="9"/>
      <c r="E30" s="266"/>
      <c r="F30" s="266"/>
      <c r="G30" s="266"/>
      <c r="H30" s="266"/>
      <c r="I30" s="266"/>
      <c r="J30" s="266"/>
      <c r="K30" s="266"/>
      <c r="L30" s="266"/>
      <c r="M30" s="266"/>
      <c r="N30" s="266"/>
      <c r="O30" s="266"/>
      <c r="P30" s="266"/>
      <c r="Q30" s="266"/>
      <c r="R30" s="266"/>
    </row>
    <row r="31" spans="1:19" x14ac:dyDescent="0.25">
      <c r="A31" t="s">
        <v>0</v>
      </c>
      <c r="B31" s="19">
        <v>1020</v>
      </c>
      <c r="C31" s="9"/>
      <c r="D31" s="9"/>
      <c r="E31" s="266"/>
      <c r="F31" s="266"/>
      <c r="G31" s="266"/>
      <c r="H31" s="266"/>
      <c r="I31" s="266"/>
      <c r="J31" s="266"/>
      <c r="K31" s="266"/>
      <c r="L31" s="266"/>
      <c r="M31" s="266"/>
      <c r="N31" s="266"/>
      <c r="O31" s="266"/>
      <c r="P31" s="266"/>
      <c r="Q31" s="266"/>
      <c r="R31" s="266"/>
    </row>
    <row r="32" spans="1:19" x14ac:dyDescent="0.25">
      <c r="A32" t="s">
        <v>7</v>
      </c>
      <c r="B32" s="19">
        <v>1122</v>
      </c>
      <c r="E32" s="266"/>
      <c r="F32" s="266"/>
      <c r="G32" s="266"/>
      <c r="H32" s="266"/>
      <c r="I32" s="266"/>
      <c r="J32" s="266"/>
      <c r="K32" s="266"/>
      <c r="L32" s="266"/>
      <c r="M32" s="266"/>
      <c r="N32" s="266"/>
      <c r="O32" s="266"/>
      <c r="P32" s="266"/>
      <c r="Q32" s="266"/>
      <c r="R32" s="266"/>
    </row>
    <row r="33" spans="1:2" x14ac:dyDescent="0.25">
      <c r="A33" t="s">
        <v>6</v>
      </c>
      <c r="B33" s="19">
        <v>3431.28</v>
      </c>
    </row>
  </sheetData>
  <sheetProtection formatCells="0" formatColumns="0" formatRows="0" insertColumns="0" insertRows="0" insertHyperlinks="0" selectLockedCells="1" sort="0" autoFilter="0" pivotTables="0" selectUnlockedCells="1"/>
  <mergeCells count="9">
    <mergeCell ref="B2:D2"/>
    <mergeCell ref="H2:J2"/>
    <mergeCell ref="B7:S7"/>
    <mergeCell ref="B15:S15"/>
    <mergeCell ref="E30:R32"/>
    <mergeCell ref="Q2:S2"/>
    <mergeCell ref="E2:G2"/>
    <mergeCell ref="K2:M2"/>
    <mergeCell ref="N2:P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32"/>
  <sheetViews>
    <sheetView zoomScaleNormal="100" workbookViewId="0">
      <pane xSplit="1" topLeftCell="B1" activePane="topRight" state="frozen"/>
      <selection activeCell="L5" sqref="L5"/>
      <selection pane="topRight" activeCell="M4" sqref="M4"/>
    </sheetView>
  </sheetViews>
  <sheetFormatPr defaultRowHeight="15" x14ac:dyDescent="0.25"/>
  <cols>
    <col min="1" max="1" width="22.28515625" bestFit="1" customWidth="1"/>
    <col min="2" max="2" width="19.85546875" bestFit="1" customWidth="1"/>
    <col min="3" max="3" width="21.140625" bestFit="1" customWidth="1"/>
    <col min="4" max="5" width="20.140625" bestFit="1" customWidth="1"/>
    <col min="6" max="6" width="10.140625" customWidth="1"/>
    <col min="7" max="8" width="10" bestFit="1" customWidth="1"/>
    <col min="9" max="9" width="10.5703125" bestFit="1" customWidth="1"/>
    <col min="10" max="12" width="10" bestFit="1" customWidth="1"/>
    <col min="13" max="15" width="9.42578125" bestFit="1" customWidth="1"/>
    <col min="16" max="16" width="13.140625" bestFit="1" customWidth="1"/>
    <col min="17" max="18" width="12" bestFit="1" customWidth="1"/>
    <col min="19" max="19" width="13.140625" bestFit="1" customWidth="1"/>
    <col min="20" max="20" width="11" bestFit="1" customWidth="1"/>
    <col min="21" max="21" width="9.42578125" bestFit="1" customWidth="1"/>
    <col min="22" max="22" width="10" bestFit="1" customWidth="1"/>
    <col min="23" max="23" width="8.5703125" bestFit="1" customWidth="1"/>
  </cols>
  <sheetData>
    <row r="1" spans="1:23" x14ac:dyDescent="0.25">
      <c r="C1" s="276" t="s">
        <v>15</v>
      </c>
      <c r="D1" s="276"/>
      <c r="E1" s="276"/>
      <c r="F1" t="s">
        <v>107</v>
      </c>
      <c r="G1" t="s">
        <v>107</v>
      </c>
      <c r="H1" s="232" t="s">
        <v>14</v>
      </c>
      <c r="I1" s="233"/>
      <c r="J1" s="233"/>
      <c r="K1" s="234"/>
      <c r="L1" s="234"/>
    </row>
    <row r="2" spans="1:23" x14ac:dyDescent="0.25">
      <c r="A2" s="6" t="s">
        <v>2</v>
      </c>
      <c r="B2" s="6" t="s">
        <v>17</v>
      </c>
      <c r="C2" s="6" t="s">
        <v>11</v>
      </c>
      <c r="D2" s="6" t="s">
        <v>12</v>
      </c>
      <c r="E2" s="164" t="s">
        <v>13</v>
      </c>
      <c r="F2" t="s">
        <v>106</v>
      </c>
      <c r="G2" t="s">
        <v>127</v>
      </c>
      <c r="H2" s="167">
        <v>12</v>
      </c>
      <c r="I2" s="6">
        <v>6</v>
      </c>
      <c r="J2" s="6">
        <v>4</v>
      </c>
      <c r="K2" s="168" t="s">
        <v>103</v>
      </c>
      <c r="L2" s="168" t="s">
        <v>124</v>
      </c>
    </row>
    <row r="3" spans="1:23" x14ac:dyDescent="0.25">
      <c r="A3" s="6" t="s">
        <v>8</v>
      </c>
      <c r="B3" s="2">
        <v>1.585</v>
      </c>
      <c r="C3" s="157">
        <v>600</v>
      </c>
      <c r="D3" s="157">
        <v>300</v>
      </c>
      <c r="E3" s="165">
        <v>200</v>
      </c>
      <c r="F3" s="235">
        <v>0</v>
      </c>
      <c r="G3" s="235">
        <v>0</v>
      </c>
      <c r="H3" s="169">
        <f>SUM(B3/C3)</f>
        <v>2.6416666666666667E-3</v>
      </c>
      <c r="I3" s="156">
        <f>SUM(B3/D3)</f>
        <v>5.2833333333333335E-3</v>
      </c>
      <c r="J3" s="156">
        <f>SUM(B3/E3)</f>
        <v>7.9249999999999998E-3</v>
      </c>
      <c r="K3" s="170">
        <v>0</v>
      </c>
      <c r="L3" s="170">
        <v>0</v>
      </c>
    </row>
    <row r="4" spans="1:23" x14ac:dyDescent="0.25">
      <c r="A4" s="6" t="s">
        <v>125</v>
      </c>
      <c r="B4" s="2">
        <v>10</v>
      </c>
      <c r="C4" s="157">
        <v>2500</v>
      </c>
      <c r="D4" s="157">
        <v>1250</v>
      </c>
      <c r="E4" s="165">
        <v>900</v>
      </c>
      <c r="F4" s="159">
        <v>1000</v>
      </c>
      <c r="G4" s="159">
        <v>2000</v>
      </c>
      <c r="H4" s="169">
        <f>SUM(B4/C4)</f>
        <v>4.0000000000000001E-3</v>
      </c>
      <c r="I4" s="156">
        <f>SUM(B4/D4)</f>
        <v>8.0000000000000002E-3</v>
      </c>
      <c r="J4" s="156">
        <f>SUM(B4/E4)</f>
        <v>1.1111111111111112E-2</v>
      </c>
      <c r="K4" s="171">
        <f>IFERROR(B4/F4,"")</f>
        <v>0.01</v>
      </c>
      <c r="L4" s="171">
        <f>IFERROR(B4/G4,"")</f>
        <v>5.0000000000000001E-3</v>
      </c>
    </row>
    <row r="5" spans="1:23" x14ac:dyDescent="0.25">
      <c r="A5" s="6" t="s">
        <v>0</v>
      </c>
      <c r="B5" s="7">
        <v>20</v>
      </c>
      <c r="C5" s="158">
        <v>3700</v>
      </c>
      <c r="D5" s="158">
        <v>1900</v>
      </c>
      <c r="E5" s="166">
        <v>1300</v>
      </c>
      <c r="F5" s="159">
        <v>0</v>
      </c>
      <c r="G5" s="159">
        <v>2800</v>
      </c>
      <c r="H5" s="169">
        <f>SUM(B5/C5)</f>
        <v>5.4054054054054057E-3</v>
      </c>
      <c r="I5" s="156">
        <f>SUM(B5/D5)</f>
        <v>1.0526315789473684E-2</v>
      </c>
      <c r="J5" s="156">
        <f>SUM(B5/E5)</f>
        <v>1.5384615384615385E-2</v>
      </c>
      <c r="K5" s="171" t="str">
        <f t="shared" ref="K5:K7" si="0">IFERROR(B5/F5,"")</f>
        <v/>
      </c>
      <c r="L5" s="171">
        <f t="shared" ref="L5:L7" si="1">IFERROR(B5/G5,"")</f>
        <v>7.1428571428571426E-3</v>
      </c>
    </row>
    <row r="6" spans="1:23" x14ac:dyDescent="0.25">
      <c r="A6" s="6" t="s">
        <v>7</v>
      </c>
      <c r="B6" s="2">
        <v>30</v>
      </c>
      <c r="C6" s="157">
        <v>7500</v>
      </c>
      <c r="D6" s="157">
        <v>3750</v>
      </c>
      <c r="E6" s="165">
        <v>2700</v>
      </c>
      <c r="F6" s="159">
        <v>3000</v>
      </c>
      <c r="G6" s="159">
        <v>6000</v>
      </c>
      <c r="H6" s="169">
        <f>SUM(B6/C6)</f>
        <v>4.0000000000000001E-3</v>
      </c>
      <c r="I6" s="156">
        <f>SUM(B6/D6)</f>
        <v>8.0000000000000002E-3</v>
      </c>
      <c r="J6" s="156">
        <f>SUM(B6/E6)</f>
        <v>1.1111111111111112E-2</v>
      </c>
      <c r="K6" s="171">
        <f t="shared" si="0"/>
        <v>0.01</v>
      </c>
      <c r="L6" s="171">
        <f t="shared" si="1"/>
        <v>5.0000000000000001E-3</v>
      </c>
    </row>
    <row r="7" spans="1:23" ht="15.75" thickBot="1" x14ac:dyDescent="0.3">
      <c r="A7" s="6" t="s">
        <v>6</v>
      </c>
      <c r="B7" s="7">
        <v>100</v>
      </c>
      <c r="C7" s="158">
        <v>25000</v>
      </c>
      <c r="D7" s="158">
        <v>12500</v>
      </c>
      <c r="E7" s="166">
        <v>9000</v>
      </c>
      <c r="F7" s="159">
        <v>10000</v>
      </c>
      <c r="G7" s="159">
        <v>20000</v>
      </c>
      <c r="H7" s="172">
        <f>SUM(B7/C7)</f>
        <v>4.0000000000000001E-3</v>
      </c>
      <c r="I7" s="173">
        <f>SUM(B7/D7)</f>
        <v>8.0000000000000002E-3</v>
      </c>
      <c r="J7" s="173">
        <f>SUM(B7/E7)</f>
        <v>1.1111111111111112E-2</v>
      </c>
      <c r="K7" s="174">
        <f t="shared" si="0"/>
        <v>0.01</v>
      </c>
      <c r="L7" s="174">
        <f t="shared" si="1"/>
        <v>5.0000000000000001E-3</v>
      </c>
    </row>
    <row r="10" spans="1:23" x14ac:dyDescent="0.25">
      <c r="B10" s="275" t="s">
        <v>20</v>
      </c>
      <c r="C10" s="275"/>
      <c r="D10" s="275"/>
      <c r="E10" s="275"/>
      <c r="F10" s="275"/>
      <c r="G10" s="275"/>
      <c r="H10" s="275"/>
      <c r="I10" s="275"/>
      <c r="J10" s="275"/>
      <c r="K10" s="275"/>
      <c r="L10" s="275"/>
      <c r="S10" t="s">
        <v>113</v>
      </c>
    </row>
    <row r="11" spans="1:23" x14ac:dyDescent="0.25">
      <c r="B11" s="29"/>
      <c r="C11" s="30"/>
      <c r="D11" s="277" t="str">
        <f>[1]Sheet1!D9</f>
        <v>bead / 32 sqft</v>
      </c>
      <c r="E11" s="278"/>
      <c r="F11" s="279"/>
      <c r="G11" s="272" t="str">
        <f>[1]Sheet1!G9</f>
        <v>sec/32 sq ft</v>
      </c>
      <c r="H11" s="273"/>
      <c r="I11" s="274"/>
      <c r="J11" s="272" t="str">
        <f>[1]Sheet1!J9</f>
        <v>sec / sq ft</v>
      </c>
      <c r="K11" s="273"/>
      <c r="L11" s="274"/>
      <c r="M11" s="272" t="str">
        <f>[1]Sheet1!M9</f>
        <v>min / sq ft</v>
      </c>
      <c r="N11" s="273"/>
      <c r="O11" s="274"/>
      <c r="P11" s="272" t="str">
        <f>[1]Sheet1!P9</f>
        <v>Hr / sq ft</v>
      </c>
      <c r="Q11" s="273"/>
      <c r="R11" s="273"/>
      <c r="S11" t="s">
        <v>30</v>
      </c>
      <c r="T11" t="s">
        <v>31</v>
      </c>
      <c r="U11" t="s">
        <v>32</v>
      </c>
      <c r="V11" t="s">
        <v>33</v>
      </c>
      <c r="W11" t="s">
        <v>34</v>
      </c>
    </row>
    <row r="12" spans="1:23" x14ac:dyDescent="0.25">
      <c r="A12" s="23"/>
      <c r="B12" s="26" t="str">
        <f>[1]Sheet1!B10</f>
        <v>seconds</v>
      </c>
      <c r="C12" s="28" t="str">
        <f>[1]Sheet1!C10</f>
        <v>sec/bead</v>
      </c>
      <c r="D12" s="22" t="str">
        <f>[1]Sheet1!D10</f>
        <v>4"</v>
      </c>
      <c r="E12" s="21" t="str">
        <f>[1]Sheet1!E10</f>
        <v>6"</v>
      </c>
      <c r="F12" s="25" t="str">
        <f>[1]Sheet1!F10</f>
        <v>12"</v>
      </c>
      <c r="G12" s="21" t="str">
        <f>[1]Sheet1!G10</f>
        <v>4"</v>
      </c>
      <c r="H12" s="21" t="str">
        <f>[1]Sheet1!H10</f>
        <v>6"</v>
      </c>
      <c r="I12" s="25" t="str">
        <f>[1]Sheet1!I10</f>
        <v>12"</v>
      </c>
      <c r="J12" s="31" t="str">
        <f>[1]Sheet1!J10</f>
        <v>4"</v>
      </c>
      <c r="K12" s="21" t="str">
        <f>[1]Sheet1!K10</f>
        <v>6"</v>
      </c>
      <c r="L12" s="21" t="str">
        <f>[1]Sheet1!L10</f>
        <v>12"</v>
      </c>
      <c r="M12" s="31" t="str">
        <f>[1]Sheet1!M10</f>
        <v>4"</v>
      </c>
      <c r="N12" s="21" t="str">
        <f>[1]Sheet1!N10</f>
        <v>6"</v>
      </c>
      <c r="O12" s="25" t="str">
        <f>[1]Sheet1!O10</f>
        <v>12"</v>
      </c>
      <c r="P12" s="31" t="str">
        <f>[1]Sheet1!P10</f>
        <v>4"</v>
      </c>
      <c r="Q12" s="21" t="str">
        <f>[1]Sheet1!Q10</f>
        <v>6"</v>
      </c>
      <c r="R12" s="25" t="str">
        <f>[1]Sheet1!R10</f>
        <v>12"</v>
      </c>
    </row>
    <row r="13" spans="1:23" x14ac:dyDescent="0.25">
      <c r="A13" s="24" t="s">
        <v>40</v>
      </c>
      <c r="B13" s="179">
        <v>154</v>
      </c>
      <c r="C13" s="179">
        <f>B13/72</f>
        <v>2.1388888888888888</v>
      </c>
      <c r="D13" s="178">
        <v>24</v>
      </c>
      <c r="E13" s="5">
        <v>16</v>
      </c>
      <c r="F13" s="27">
        <v>8</v>
      </c>
      <c r="G13" s="145">
        <f>$C13*D13</f>
        <v>51.333333333333329</v>
      </c>
      <c r="H13" s="145">
        <f>$C13*E13</f>
        <v>34.222222222222221</v>
      </c>
      <c r="I13" s="146">
        <f>$C13*F13</f>
        <v>17.111111111111111</v>
      </c>
      <c r="J13" s="32">
        <f>G13/32</f>
        <v>1.6041666666666665</v>
      </c>
      <c r="K13" s="33">
        <f t="shared" ref="K13:K21" si="2">H13/32</f>
        <v>1.0694444444444444</v>
      </c>
      <c r="L13" s="34">
        <f t="shared" ref="L13:L21" si="3">I13/32</f>
        <v>0.53472222222222221</v>
      </c>
      <c r="M13" s="32">
        <f>J13/60</f>
        <v>2.673611111111111E-2</v>
      </c>
      <c r="N13" s="33">
        <f t="shared" ref="N13:N21" si="4">K13/60</f>
        <v>1.7824074074074072E-2</v>
      </c>
      <c r="O13" s="34">
        <f t="shared" ref="O13:O21" si="5">L13/60</f>
        <v>8.912037037037036E-3</v>
      </c>
      <c r="P13" s="141">
        <f>M13/60</f>
        <v>4.4560185185185181E-4</v>
      </c>
      <c r="Q13" s="141">
        <f t="shared" ref="Q13:Q21" si="6">N13/60</f>
        <v>2.9706790123456786E-4</v>
      </c>
      <c r="R13" s="141">
        <f t="shared" ref="R13:R21" si="7">O13/60</f>
        <v>1.4853395061728393E-4</v>
      </c>
    </row>
    <row r="14" spans="1:23" x14ac:dyDescent="0.25">
      <c r="A14" s="24" t="s">
        <v>41</v>
      </c>
      <c r="B14" s="35">
        <v>110</v>
      </c>
      <c r="C14" s="35">
        <f t="shared" ref="C14:C21" si="8">B14/72</f>
        <v>1.5277777777777777</v>
      </c>
      <c r="D14" s="36">
        <v>24</v>
      </c>
      <c r="E14" s="176">
        <v>16</v>
      </c>
      <c r="F14" s="177">
        <v>8</v>
      </c>
      <c r="G14" s="147">
        <f>$C14*D14</f>
        <v>36.666666666666664</v>
      </c>
      <c r="H14" s="147">
        <f t="shared" ref="H14:H21" si="9">$C14*E14</f>
        <v>24.444444444444443</v>
      </c>
      <c r="I14" s="148">
        <f t="shared" ref="I14:I21" si="10">$C14*F14</f>
        <v>12.222222222222221</v>
      </c>
      <c r="J14" s="37">
        <f t="shared" ref="J14:J21" si="11">G14/32</f>
        <v>1.1458333333333333</v>
      </c>
      <c r="K14" s="38">
        <f t="shared" si="2"/>
        <v>0.76388888888888884</v>
      </c>
      <c r="L14" s="39">
        <f t="shared" si="3"/>
        <v>0.38194444444444442</v>
      </c>
      <c r="M14" s="37">
        <f t="shared" ref="M14:M21" si="12">J14/60</f>
        <v>1.909722222222222E-2</v>
      </c>
      <c r="N14" s="38">
        <f t="shared" si="4"/>
        <v>1.2731481481481481E-2</v>
      </c>
      <c r="O14" s="39">
        <f t="shared" si="5"/>
        <v>6.3657407407407404E-3</v>
      </c>
      <c r="P14" s="142">
        <f t="shared" ref="P14:P21" si="13">M14/60</f>
        <v>3.1828703703703701E-4</v>
      </c>
      <c r="Q14" s="142">
        <f t="shared" si="6"/>
        <v>2.1219135802469136E-4</v>
      </c>
      <c r="R14" s="142">
        <f t="shared" si="7"/>
        <v>1.0609567901234568E-4</v>
      </c>
    </row>
    <row r="15" spans="1:23" x14ac:dyDescent="0.25">
      <c r="A15" s="24" t="s">
        <v>0</v>
      </c>
      <c r="B15" s="179">
        <v>94</v>
      </c>
      <c r="C15" s="179">
        <f t="shared" si="8"/>
        <v>1.3055555555555556</v>
      </c>
      <c r="D15" s="178">
        <v>24</v>
      </c>
      <c r="E15" s="5">
        <v>16</v>
      </c>
      <c r="F15" s="27">
        <v>8</v>
      </c>
      <c r="G15" s="145">
        <f t="shared" ref="G15:G21" si="14">$C15*D15</f>
        <v>31.333333333333336</v>
      </c>
      <c r="H15" s="145">
        <f t="shared" si="9"/>
        <v>20.888888888888889</v>
      </c>
      <c r="I15" s="146">
        <f t="shared" si="10"/>
        <v>10.444444444444445</v>
      </c>
      <c r="J15" s="32">
        <f t="shared" si="11"/>
        <v>0.97916666666666674</v>
      </c>
      <c r="K15" s="33">
        <f t="shared" si="2"/>
        <v>0.65277777777777779</v>
      </c>
      <c r="L15" s="34">
        <f t="shared" si="3"/>
        <v>0.3263888888888889</v>
      </c>
      <c r="M15" s="32">
        <f t="shared" si="12"/>
        <v>1.6319444444444445E-2</v>
      </c>
      <c r="N15" s="33">
        <f t="shared" si="4"/>
        <v>1.087962962962963E-2</v>
      </c>
      <c r="O15" s="34">
        <f t="shared" si="5"/>
        <v>5.4398148148148149E-3</v>
      </c>
      <c r="P15" s="141">
        <f t="shared" si="13"/>
        <v>2.7199074074074078E-4</v>
      </c>
      <c r="Q15" s="141">
        <f t="shared" si="6"/>
        <v>1.8132716049382717E-4</v>
      </c>
      <c r="R15" s="141">
        <f t="shared" si="7"/>
        <v>9.0663580246913583E-5</v>
      </c>
    </row>
    <row r="16" spans="1:23" x14ac:dyDescent="0.25">
      <c r="A16" s="128" t="s">
        <v>105</v>
      </c>
      <c r="B16" s="129">
        <v>64</v>
      </c>
      <c r="C16" s="163">
        <f t="shared" si="8"/>
        <v>0.88888888888888884</v>
      </c>
      <c r="D16" s="130">
        <v>24</v>
      </c>
      <c r="E16" s="131">
        <v>16</v>
      </c>
      <c r="F16" s="132">
        <v>8</v>
      </c>
      <c r="G16" s="149">
        <f t="shared" si="14"/>
        <v>21.333333333333332</v>
      </c>
      <c r="H16" s="149">
        <f t="shared" si="9"/>
        <v>14.222222222222221</v>
      </c>
      <c r="I16" s="150">
        <f t="shared" si="10"/>
        <v>7.1111111111111107</v>
      </c>
      <c r="J16" s="133">
        <f t="shared" si="11"/>
        <v>0.66666666666666663</v>
      </c>
      <c r="K16" s="134">
        <f t="shared" si="2"/>
        <v>0.44444444444444442</v>
      </c>
      <c r="L16" s="135">
        <f t="shared" si="3"/>
        <v>0.22222222222222221</v>
      </c>
      <c r="M16" s="133">
        <f t="shared" si="12"/>
        <v>1.111111111111111E-2</v>
      </c>
      <c r="N16" s="134">
        <f t="shared" si="4"/>
        <v>7.4074074074074068E-3</v>
      </c>
      <c r="O16" s="135">
        <f t="shared" si="5"/>
        <v>3.7037037037037034E-3</v>
      </c>
      <c r="P16" s="143">
        <f t="shared" si="13"/>
        <v>1.8518518518518518E-4</v>
      </c>
      <c r="Q16" s="143">
        <f t="shared" si="6"/>
        <v>1.2345679012345679E-4</v>
      </c>
      <c r="R16" s="143">
        <f t="shared" si="7"/>
        <v>6.1728395061728397E-5</v>
      </c>
    </row>
    <row r="17" spans="1:20" x14ac:dyDescent="0.25">
      <c r="A17" s="24" t="s">
        <v>42</v>
      </c>
      <c r="B17" s="35">
        <v>64</v>
      </c>
      <c r="C17" s="35">
        <f t="shared" si="8"/>
        <v>0.88888888888888884</v>
      </c>
      <c r="D17" s="36">
        <v>24</v>
      </c>
      <c r="E17" s="176">
        <v>16</v>
      </c>
      <c r="F17" s="177">
        <v>8</v>
      </c>
      <c r="G17" s="147">
        <f t="shared" si="14"/>
        <v>21.333333333333332</v>
      </c>
      <c r="H17" s="147">
        <f t="shared" si="9"/>
        <v>14.222222222222221</v>
      </c>
      <c r="I17" s="148">
        <f t="shared" si="10"/>
        <v>7.1111111111111107</v>
      </c>
      <c r="J17" s="37">
        <f t="shared" si="11"/>
        <v>0.66666666666666663</v>
      </c>
      <c r="K17" s="38">
        <f t="shared" si="2"/>
        <v>0.44444444444444442</v>
      </c>
      <c r="L17" s="39">
        <f t="shared" si="3"/>
        <v>0.22222222222222221</v>
      </c>
      <c r="M17" s="37">
        <f t="shared" si="12"/>
        <v>1.111111111111111E-2</v>
      </c>
      <c r="N17" s="38">
        <f t="shared" si="4"/>
        <v>7.4074074074074068E-3</v>
      </c>
      <c r="O17" s="39">
        <f t="shared" si="5"/>
        <v>3.7037037037037034E-3</v>
      </c>
      <c r="P17" s="142">
        <f t="shared" si="13"/>
        <v>1.8518518518518518E-4</v>
      </c>
      <c r="Q17" s="142">
        <f t="shared" si="6"/>
        <v>1.2345679012345679E-4</v>
      </c>
      <c r="R17" s="142">
        <f t="shared" si="7"/>
        <v>6.1728395061728397E-5</v>
      </c>
      <c r="S17">
        <v>0.7</v>
      </c>
      <c r="T17">
        <f>C17*S17</f>
        <v>0.62222222222222212</v>
      </c>
    </row>
    <row r="18" spans="1:20" x14ac:dyDescent="0.25">
      <c r="A18" t="s">
        <v>123</v>
      </c>
      <c r="B18" s="35">
        <f>B17</f>
        <v>64</v>
      </c>
      <c r="C18" s="27">
        <f>B18/72</f>
        <v>0.88888888888888884</v>
      </c>
      <c r="D18" s="5">
        <v>24</v>
      </c>
      <c r="E18" s="5">
        <v>16</v>
      </c>
      <c r="F18" s="27">
        <v>8</v>
      </c>
      <c r="G18" s="145">
        <f>$C18*D18</f>
        <v>21.333333333333332</v>
      </c>
      <c r="H18" s="145">
        <f>$C18*E18</f>
        <v>14.222222222222221</v>
      </c>
      <c r="I18" s="146">
        <f>$C18*F18</f>
        <v>7.1111111111111107</v>
      </c>
      <c r="J18" s="32">
        <f>G18/32</f>
        <v>0.66666666666666663</v>
      </c>
      <c r="K18" s="33">
        <f>H18/32</f>
        <v>0.44444444444444442</v>
      </c>
      <c r="L18" s="34">
        <f>I18/32</f>
        <v>0.22222222222222221</v>
      </c>
      <c r="M18" s="32">
        <f t="shared" ref="M18:R18" si="15">J18/60</f>
        <v>1.111111111111111E-2</v>
      </c>
      <c r="N18" s="33">
        <f t="shared" si="15"/>
        <v>7.4074074074074068E-3</v>
      </c>
      <c r="O18" s="34">
        <f t="shared" si="15"/>
        <v>3.7037037037037034E-3</v>
      </c>
      <c r="P18" s="141">
        <f t="shared" si="15"/>
        <v>1.8518518518518518E-4</v>
      </c>
      <c r="Q18" s="141">
        <f t="shared" si="15"/>
        <v>1.2345679012345679E-4</v>
      </c>
      <c r="R18" s="141">
        <f t="shared" si="15"/>
        <v>6.1728395061728397E-5</v>
      </c>
    </row>
    <row r="19" spans="1:20" x14ac:dyDescent="0.25">
      <c r="A19" s="128" t="s">
        <v>104</v>
      </c>
      <c r="B19" s="136">
        <v>49</v>
      </c>
      <c r="C19" s="136">
        <f t="shared" si="8"/>
        <v>0.68055555555555558</v>
      </c>
      <c r="D19" s="137">
        <v>24</v>
      </c>
      <c r="E19" s="137">
        <v>16</v>
      </c>
      <c r="F19" s="136">
        <v>8</v>
      </c>
      <c r="G19" s="151">
        <f t="shared" si="14"/>
        <v>16.333333333333336</v>
      </c>
      <c r="H19" s="151">
        <f t="shared" si="9"/>
        <v>10.888888888888889</v>
      </c>
      <c r="I19" s="152">
        <f t="shared" si="10"/>
        <v>5.4444444444444446</v>
      </c>
      <c r="J19" s="138">
        <f t="shared" si="11"/>
        <v>0.51041666666666674</v>
      </c>
      <c r="K19" s="139">
        <f t="shared" si="2"/>
        <v>0.34027777777777779</v>
      </c>
      <c r="L19" s="140">
        <f t="shared" si="3"/>
        <v>0.1701388888888889</v>
      </c>
      <c r="M19" s="138">
        <f t="shared" si="12"/>
        <v>8.5069444444444454E-3</v>
      </c>
      <c r="N19" s="139">
        <f t="shared" si="4"/>
        <v>5.6712962962962967E-3</v>
      </c>
      <c r="O19" s="140">
        <f t="shared" si="5"/>
        <v>2.8356481481481483E-3</v>
      </c>
      <c r="P19" s="144">
        <f t="shared" si="13"/>
        <v>1.4178240740740742E-4</v>
      </c>
      <c r="Q19" s="144">
        <f t="shared" si="6"/>
        <v>9.4521604938271607E-5</v>
      </c>
      <c r="R19" s="144">
        <f t="shared" si="7"/>
        <v>4.7260802469135803E-5</v>
      </c>
    </row>
    <row r="20" spans="1:20" x14ac:dyDescent="0.25">
      <c r="A20" s="24" t="s">
        <v>43</v>
      </c>
      <c r="B20" s="27">
        <v>57</v>
      </c>
      <c r="C20" s="27">
        <f>B20/72</f>
        <v>0.79166666666666663</v>
      </c>
      <c r="D20" s="5">
        <v>24</v>
      </c>
      <c r="E20" s="5">
        <v>16</v>
      </c>
      <c r="F20" s="27">
        <v>8</v>
      </c>
      <c r="G20" s="145">
        <f t="shared" si="14"/>
        <v>19</v>
      </c>
      <c r="H20" s="145">
        <f t="shared" si="9"/>
        <v>12.666666666666666</v>
      </c>
      <c r="I20" s="146">
        <f t="shared" si="10"/>
        <v>6.333333333333333</v>
      </c>
      <c r="J20" s="32">
        <f t="shared" si="11"/>
        <v>0.59375</v>
      </c>
      <c r="K20" s="33">
        <f t="shared" si="2"/>
        <v>0.39583333333333331</v>
      </c>
      <c r="L20" s="34">
        <f t="shared" si="3"/>
        <v>0.19791666666666666</v>
      </c>
      <c r="M20" s="32">
        <f t="shared" si="12"/>
        <v>9.8958333333333329E-3</v>
      </c>
      <c r="N20" s="33">
        <f t="shared" si="4"/>
        <v>6.5972222222222222E-3</v>
      </c>
      <c r="O20" s="34">
        <f t="shared" si="5"/>
        <v>3.2986111111111111E-3</v>
      </c>
      <c r="P20" s="141">
        <f>M20/60</f>
        <v>1.6493055555555556E-4</v>
      </c>
      <c r="Q20" s="141">
        <f t="shared" si="6"/>
        <v>1.099537037037037E-4</v>
      </c>
      <c r="R20" s="141">
        <f t="shared" si="7"/>
        <v>5.4976851851851851E-5</v>
      </c>
    </row>
    <row r="21" spans="1:20" x14ac:dyDescent="0.25">
      <c r="A21" s="1" t="s">
        <v>108</v>
      </c>
      <c r="B21" s="27">
        <v>52</v>
      </c>
      <c r="C21" s="27">
        <f t="shared" si="8"/>
        <v>0.72222222222222221</v>
      </c>
      <c r="D21" s="5">
        <v>24</v>
      </c>
      <c r="E21" s="5">
        <v>16</v>
      </c>
      <c r="F21" s="27">
        <v>8</v>
      </c>
      <c r="G21" s="145">
        <f t="shared" si="14"/>
        <v>17.333333333333332</v>
      </c>
      <c r="H21" s="145">
        <f t="shared" si="9"/>
        <v>11.555555555555555</v>
      </c>
      <c r="I21" s="146">
        <f t="shared" si="10"/>
        <v>5.7777777777777777</v>
      </c>
      <c r="J21" s="32">
        <f t="shared" si="11"/>
        <v>0.54166666666666663</v>
      </c>
      <c r="K21" s="33">
        <f t="shared" si="2"/>
        <v>0.3611111111111111</v>
      </c>
      <c r="L21" s="34">
        <f t="shared" si="3"/>
        <v>0.18055555555555555</v>
      </c>
      <c r="M21" s="32">
        <f t="shared" si="12"/>
        <v>9.0277777777777769E-3</v>
      </c>
      <c r="N21" s="33">
        <f t="shared" si="4"/>
        <v>6.0185185185185185E-3</v>
      </c>
      <c r="O21" s="34">
        <f t="shared" si="5"/>
        <v>3.0092592592592593E-3</v>
      </c>
      <c r="P21" s="141">
        <f t="shared" si="13"/>
        <v>1.5046296296296295E-4</v>
      </c>
      <c r="Q21" s="141">
        <f t="shared" si="6"/>
        <v>1.0030864197530864E-4</v>
      </c>
      <c r="R21" s="141">
        <f t="shared" si="7"/>
        <v>5.0154320987654318E-5</v>
      </c>
      <c r="S21">
        <v>1.5</v>
      </c>
      <c r="T21">
        <f>C21*S21</f>
        <v>1.0833333333333333</v>
      </c>
    </row>
    <row r="22" spans="1:20" x14ac:dyDescent="0.25">
      <c r="B22" s="36"/>
      <c r="C22" s="5"/>
      <c r="D22" s="5"/>
      <c r="E22" s="5"/>
      <c r="F22" s="5"/>
      <c r="G22" s="145"/>
      <c r="H22" s="145"/>
      <c r="I22" s="145"/>
      <c r="J22" s="33"/>
      <c r="K22" s="33"/>
      <c r="L22" s="33"/>
      <c r="M22" s="33"/>
      <c r="N22" s="33"/>
      <c r="O22" s="33"/>
      <c r="P22" s="141"/>
      <c r="Q22" s="141"/>
      <c r="R22" s="141"/>
    </row>
    <row r="23" spans="1:20" x14ac:dyDescent="0.25">
      <c r="G23" t="s">
        <v>111</v>
      </c>
      <c r="J23" s="161" t="s">
        <v>110</v>
      </c>
      <c r="M23" t="s">
        <v>109</v>
      </c>
      <c r="P23" t="s">
        <v>112</v>
      </c>
    </row>
    <row r="25" spans="1:20" x14ac:dyDescent="0.25">
      <c r="A25" t="s">
        <v>116</v>
      </c>
      <c r="G25" s="155">
        <f t="shared" ref="G25:I29" si="16">$C13*D13</f>
        <v>51.333333333333329</v>
      </c>
      <c r="H25" s="155">
        <f t="shared" si="16"/>
        <v>34.222222222222221</v>
      </c>
      <c r="I25" s="155">
        <f t="shared" si="16"/>
        <v>17.111111111111111</v>
      </c>
      <c r="J25" s="155">
        <f t="shared" ref="J25:L29" si="17">G13/32</f>
        <v>1.6041666666666665</v>
      </c>
      <c r="K25" s="155">
        <f t="shared" si="17"/>
        <v>1.0694444444444444</v>
      </c>
      <c r="L25" s="155">
        <f t="shared" si="17"/>
        <v>0.53472222222222221</v>
      </c>
      <c r="M25" s="160">
        <f>J25/60</f>
        <v>2.673611111111111E-2</v>
      </c>
      <c r="N25" s="160">
        <f t="shared" ref="N25:O25" si="18">K25/60</f>
        <v>1.7824074074074072E-2</v>
      </c>
      <c r="O25" s="160">
        <f t="shared" si="18"/>
        <v>8.912037037037036E-3</v>
      </c>
      <c r="P25" s="162">
        <f>M25/60</f>
        <v>4.4560185185185181E-4</v>
      </c>
      <c r="Q25" s="162">
        <f t="shared" ref="Q25:R25" si="19">N25/60</f>
        <v>2.9706790123456786E-4</v>
      </c>
      <c r="R25" s="162">
        <f t="shared" si="19"/>
        <v>1.4853395061728393E-4</v>
      </c>
    </row>
    <row r="26" spans="1:20" x14ac:dyDescent="0.25">
      <c r="A26" t="s">
        <v>117</v>
      </c>
      <c r="B26">
        <v>26.05</v>
      </c>
      <c r="G26" s="155">
        <f t="shared" si="16"/>
        <v>36.666666666666664</v>
      </c>
      <c r="H26" s="155">
        <f t="shared" si="16"/>
        <v>24.444444444444443</v>
      </c>
      <c r="I26" s="155">
        <f t="shared" si="16"/>
        <v>12.222222222222221</v>
      </c>
      <c r="J26" s="155">
        <f t="shared" si="17"/>
        <v>1.1458333333333333</v>
      </c>
      <c r="K26" s="155">
        <f t="shared" si="17"/>
        <v>0.76388888888888884</v>
      </c>
      <c r="L26" s="155">
        <f t="shared" si="17"/>
        <v>0.38194444444444442</v>
      </c>
      <c r="M26" s="160">
        <f t="shared" ref="M26:M31" si="20">J26/60</f>
        <v>1.909722222222222E-2</v>
      </c>
      <c r="N26" s="160">
        <f t="shared" ref="N26:N31" si="21">K26/60</f>
        <v>1.2731481481481481E-2</v>
      </c>
      <c r="O26" s="160">
        <f t="shared" ref="O26:O31" si="22">L26/60</f>
        <v>6.3657407407407404E-3</v>
      </c>
      <c r="P26" s="162">
        <f t="shared" ref="P26:P31" si="23">M26/60</f>
        <v>3.1828703703703701E-4</v>
      </c>
      <c r="Q26" s="162">
        <f t="shared" ref="Q26:Q31" si="24">N26/60</f>
        <v>2.1219135802469136E-4</v>
      </c>
      <c r="R26" s="162">
        <f t="shared" ref="R26:R31" si="25">O26/60</f>
        <v>1.0609567901234568E-4</v>
      </c>
    </row>
    <row r="27" spans="1:20" x14ac:dyDescent="0.25">
      <c r="A27" t="s">
        <v>118</v>
      </c>
      <c r="B27">
        <v>29.59</v>
      </c>
      <c r="G27" s="155">
        <f t="shared" si="16"/>
        <v>31.333333333333336</v>
      </c>
      <c r="H27" s="155">
        <f t="shared" si="16"/>
        <v>20.888888888888889</v>
      </c>
      <c r="I27" s="155">
        <f t="shared" si="16"/>
        <v>10.444444444444445</v>
      </c>
      <c r="J27" s="155">
        <f t="shared" si="17"/>
        <v>0.97916666666666674</v>
      </c>
      <c r="K27" s="155">
        <f t="shared" si="17"/>
        <v>0.65277777777777779</v>
      </c>
      <c r="L27" s="155">
        <f t="shared" si="17"/>
        <v>0.3263888888888889</v>
      </c>
      <c r="M27" s="160">
        <f t="shared" si="20"/>
        <v>1.6319444444444445E-2</v>
      </c>
      <c r="N27" s="160">
        <f t="shared" si="21"/>
        <v>1.087962962962963E-2</v>
      </c>
      <c r="O27" s="160">
        <f t="shared" si="22"/>
        <v>5.4398148148148149E-3</v>
      </c>
      <c r="P27" s="162">
        <f t="shared" si="23"/>
        <v>2.7199074074074078E-4</v>
      </c>
      <c r="Q27" s="162">
        <f t="shared" si="24"/>
        <v>1.8132716049382717E-4</v>
      </c>
      <c r="R27" s="162">
        <f t="shared" si="25"/>
        <v>9.0663580246913583E-5</v>
      </c>
    </row>
    <row r="28" spans="1:20" x14ac:dyDescent="0.25">
      <c r="A28" t="s">
        <v>119</v>
      </c>
      <c r="B28">
        <v>50.1</v>
      </c>
      <c r="G28" s="155">
        <f t="shared" si="16"/>
        <v>21.333333333333332</v>
      </c>
      <c r="H28" s="155">
        <f t="shared" si="16"/>
        <v>14.222222222222221</v>
      </c>
      <c r="I28" s="155">
        <f t="shared" si="16"/>
        <v>7.1111111111111107</v>
      </c>
      <c r="J28" s="155">
        <f t="shared" si="17"/>
        <v>0.66666666666666663</v>
      </c>
      <c r="K28" s="155">
        <f t="shared" si="17"/>
        <v>0.44444444444444442</v>
      </c>
      <c r="L28" s="155">
        <f t="shared" si="17"/>
        <v>0.22222222222222221</v>
      </c>
      <c r="M28" s="160">
        <f t="shared" si="20"/>
        <v>1.111111111111111E-2</v>
      </c>
      <c r="N28" s="160">
        <f t="shared" si="21"/>
        <v>7.4074074074074068E-3</v>
      </c>
      <c r="O28" s="160">
        <f t="shared" si="22"/>
        <v>3.7037037037037034E-3</v>
      </c>
      <c r="P28" s="162">
        <f t="shared" si="23"/>
        <v>1.8518518518518518E-4</v>
      </c>
      <c r="Q28" s="162">
        <f t="shared" si="24"/>
        <v>1.2345679012345679E-4</v>
      </c>
      <c r="R28" s="162">
        <f t="shared" si="25"/>
        <v>6.1728395061728397E-5</v>
      </c>
    </row>
    <row r="29" spans="1:20" x14ac:dyDescent="0.25">
      <c r="A29" t="s">
        <v>120</v>
      </c>
      <c r="B29">
        <v>29.44</v>
      </c>
      <c r="G29" s="155">
        <f t="shared" si="16"/>
        <v>21.333333333333332</v>
      </c>
      <c r="H29" s="155">
        <f t="shared" si="16"/>
        <v>14.222222222222221</v>
      </c>
      <c r="I29" s="155">
        <f t="shared" si="16"/>
        <v>7.1111111111111107</v>
      </c>
      <c r="J29" s="155">
        <f t="shared" si="17"/>
        <v>0.66666666666666663</v>
      </c>
      <c r="K29" s="155">
        <f t="shared" si="17"/>
        <v>0.44444444444444442</v>
      </c>
      <c r="L29" s="155">
        <f t="shared" si="17"/>
        <v>0.22222222222222221</v>
      </c>
      <c r="M29" s="160">
        <f t="shared" si="20"/>
        <v>1.111111111111111E-2</v>
      </c>
      <c r="N29" s="160">
        <f t="shared" si="21"/>
        <v>7.4074074074074068E-3</v>
      </c>
      <c r="O29" s="160">
        <f t="shared" si="22"/>
        <v>3.7037037037037034E-3</v>
      </c>
      <c r="P29" s="162">
        <f t="shared" si="23"/>
        <v>1.8518518518518518E-4</v>
      </c>
      <c r="Q29" s="162">
        <f t="shared" si="24"/>
        <v>1.2345679012345679E-4</v>
      </c>
      <c r="R29" s="162">
        <f t="shared" si="25"/>
        <v>6.1728395061728397E-5</v>
      </c>
    </row>
    <row r="30" spans="1:20" x14ac:dyDescent="0.25">
      <c r="A30" t="s">
        <v>121</v>
      </c>
      <c r="B30">
        <v>42.61</v>
      </c>
      <c r="G30" s="155">
        <f t="shared" ref="G30:I32" si="26">$C19*D19</f>
        <v>16.333333333333336</v>
      </c>
      <c r="H30" s="155">
        <f t="shared" si="26"/>
        <v>10.888888888888889</v>
      </c>
      <c r="I30" s="155">
        <f t="shared" si="26"/>
        <v>5.4444444444444446</v>
      </c>
      <c r="J30" s="155">
        <f t="shared" ref="J30:J31" si="27">G19/32</f>
        <v>0.51041666666666674</v>
      </c>
      <c r="K30" s="155">
        <f t="shared" ref="K30:L31" si="28">H19/32</f>
        <v>0.34027777777777779</v>
      </c>
      <c r="L30" s="155">
        <f t="shared" si="28"/>
        <v>0.1701388888888889</v>
      </c>
      <c r="M30" s="160">
        <f t="shared" si="20"/>
        <v>8.5069444444444454E-3</v>
      </c>
      <c r="N30" s="160">
        <f t="shared" si="21"/>
        <v>5.6712962962962967E-3</v>
      </c>
      <c r="O30" s="160">
        <f t="shared" si="22"/>
        <v>2.8356481481481483E-3</v>
      </c>
      <c r="P30" s="162">
        <f t="shared" si="23"/>
        <v>1.4178240740740742E-4</v>
      </c>
      <c r="Q30" s="162">
        <f t="shared" si="24"/>
        <v>9.4521604938271607E-5</v>
      </c>
      <c r="R30" s="162">
        <f t="shared" si="25"/>
        <v>4.7260802469135803E-5</v>
      </c>
    </row>
    <row r="31" spans="1:20" x14ac:dyDescent="0.25">
      <c r="A31" t="s">
        <v>104</v>
      </c>
      <c r="B31">
        <v>22.29</v>
      </c>
      <c r="G31" s="155">
        <f t="shared" si="26"/>
        <v>19</v>
      </c>
      <c r="H31" s="155">
        <f t="shared" si="26"/>
        <v>12.666666666666666</v>
      </c>
      <c r="I31" s="155">
        <f t="shared" si="26"/>
        <v>6.333333333333333</v>
      </c>
      <c r="J31" s="155">
        <f t="shared" si="27"/>
        <v>0.59375</v>
      </c>
      <c r="K31" s="155">
        <f t="shared" si="28"/>
        <v>0.39583333333333331</v>
      </c>
      <c r="L31" s="155">
        <f t="shared" si="28"/>
        <v>0.19791666666666666</v>
      </c>
      <c r="M31" s="160">
        <f t="shared" si="20"/>
        <v>9.8958333333333329E-3</v>
      </c>
      <c r="N31" s="160">
        <f t="shared" si="21"/>
        <v>6.5972222222222222E-3</v>
      </c>
      <c r="O31" s="160">
        <f t="shared" si="22"/>
        <v>3.2986111111111111E-3</v>
      </c>
      <c r="P31" s="162">
        <f t="shared" si="23"/>
        <v>1.6493055555555556E-4</v>
      </c>
      <c r="Q31" s="162">
        <f t="shared" si="24"/>
        <v>1.099537037037037E-4</v>
      </c>
      <c r="R31" s="162">
        <f t="shared" si="25"/>
        <v>5.4976851851851851E-5</v>
      </c>
    </row>
    <row r="32" spans="1:20" x14ac:dyDescent="0.25">
      <c r="A32" t="s">
        <v>8</v>
      </c>
      <c r="B32">
        <v>69.88</v>
      </c>
      <c r="G32" s="155">
        <f t="shared" si="26"/>
        <v>17.333333333333332</v>
      </c>
      <c r="H32" s="155">
        <f t="shared" si="26"/>
        <v>11.555555555555555</v>
      </c>
      <c r="I32" s="155">
        <f t="shared" si="26"/>
        <v>5.7777777777777777</v>
      </c>
      <c r="J32" s="155">
        <f>G21/32</f>
        <v>0.54166666666666663</v>
      </c>
      <c r="K32" s="155">
        <f>H21/32</f>
        <v>0.3611111111111111</v>
      </c>
      <c r="L32" s="155">
        <f>I21/32</f>
        <v>0.18055555555555555</v>
      </c>
      <c r="M32" s="160">
        <f t="shared" ref="M32" si="29">J32/60</f>
        <v>9.0277777777777769E-3</v>
      </c>
      <c r="N32" s="160">
        <f t="shared" ref="N32" si="30">K32/60</f>
        <v>6.0185185185185185E-3</v>
      </c>
      <c r="O32" s="160">
        <f t="shared" ref="O32" si="31">L32/60</f>
        <v>3.0092592592592593E-3</v>
      </c>
      <c r="P32" s="162">
        <f t="shared" ref="P32" si="32">M32/60</f>
        <v>1.5046296296296295E-4</v>
      </c>
      <c r="Q32" s="162">
        <f t="shared" ref="Q32" si="33">N32/60</f>
        <v>1.0030864197530864E-4</v>
      </c>
      <c r="R32" s="162">
        <f t="shared" ref="R32" si="34">O32/60</f>
        <v>5.0154320987654318E-5</v>
      </c>
    </row>
  </sheetData>
  <sheetProtection formatCells="0" formatColumns="0" formatRows="0" insertColumns="0" insertRows="0" insertHyperlinks="0" deleteColumns="0" deleteRows="0" selectLockedCells="1" sort="0" autoFilter="0" pivotTables="0" selectUnlockedCells="1"/>
  <mergeCells count="7">
    <mergeCell ref="J11:L11"/>
    <mergeCell ref="B10:L10"/>
    <mergeCell ref="M11:O11"/>
    <mergeCell ref="P11:R11"/>
    <mergeCell ref="C1:E1"/>
    <mergeCell ref="D11:F11"/>
    <mergeCell ref="G11:I11"/>
  </mergeCells>
  <pageMargins left="0.7" right="0.7" top="0.75" bottom="0.75" header="0.3" footer="0.3"/>
  <pageSetup scale="5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3"/>
  <sheetViews>
    <sheetView workbookViewId="0">
      <selection activeCell="L5" sqref="L5"/>
    </sheetView>
  </sheetViews>
  <sheetFormatPr defaultRowHeight="15" x14ac:dyDescent="0.25"/>
  <cols>
    <col min="1" max="15" width="9.140625" style="41"/>
    <col min="16" max="18" width="12" style="41" bestFit="1" customWidth="1"/>
    <col min="19" max="16384" width="9.140625" style="41"/>
  </cols>
  <sheetData>
    <row r="1" spans="1:18" x14ac:dyDescent="0.25">
      <c r="A1" s="41" t="s">
        <v>23</v>
      </c>
      <c r="B1" s="41" t="s">
        <v>24</v>
      </c>
      <c r="C1" s="41" t="s">
        <v>24</v>
      </c>
      <c r="H1" s="41" t="s">
        <v>25</v>
      </c>
    </row>
    <row r="2" spans="1:18" x14ac:dyDescent="0.25">
      <c r="A2" s="41">
        <v>8</v>
      </c>
      <c r="B2" s="42">
        <v>12</v>
      </c>
      <c r="C2" s="43">
        <f>SUM(A2*B2)</f>
        <v>96</v>
      </c>
      <c r="D2" s="41">
        <f>SUM(C2/H2)</f>
        <v>24</v>
      </c>
      <c r="E2" s="41" t="s">
        <v>26</v>
      </c>
      <c r="F2" s="41">
        <f>SUM(A2*H2)</f>
        <v>32</v>
      </c>
      <c r="H2" s="41">
        <v>4</v>
      </c>
    </row>
    <row r="3" spans="1:18" x14ac:dyDescent="0.25">
      <c r="A3" s="41">
        <v>24</v>
      </c>
      <c r="B3" s="42">
        <v>12</v>
      </c>
      <c r="C3" s="43">
        <f>SUM(A3*B3)</f>
        <v>288</v>
      </c>
      <c r="D3" s="44">
        <f>SUM(C3/H3)</f>
        <v>48</v>
      </c>
      <c r="E3" s="41" t="s">
        <v>27</v>
      </c>
      <c r="H3" s="41">
        <v>6</v>
      </c>
    </row>
    <row r="4" spans="1:18" x14ac:dyDescent="0.25">
      <c r="D4" s="41">
        <f>SUM(D2:D3)</f>
        <v>72</v>
      </c>
      <c r="E4" s="41" t="s">
        <v>28</v>
      </c>
      <c r="H4" s="41">
        <v>12</v>
      </c>
    </row>
    <row r="5" spans="1:18" x14ac:dyDescent="0.25">
      <c r="A5" s="41" t="s">
        <v>23</v>
      </c>
      <c r="B5" s="41" t="s">
        <v>23</v>
      </c>
      <c r="C5" s="41" t="s">
        <v>29</v>
      </c>
    </row>
    <row r="6" spans="1:18" x14ac:dyDescent="0.25">
      <c r="A6" s="41">
        <v>32</v>
      </c>
      <c r="B6" s="41">
        <v>4</v>
      </c>
      <c r="C6" s="41">
        <f>SUM(A6*B6)</f>
        <v>128</v>
      </c>
      <c r="D6" s="41">
        <f>SUM(C6/H2)</f>
        <v>32</v>
      </c>
    </row>
    <row r="8" spans="1:18" x14ac:dyDescent="0.25">
      <c r="F8" s="41">
        <v>200</v>
      </c>
      <c r="G8" s="41">
        <f>SUM(F8/D6)</f>
        <v>6.25</v>
      </c>
    </row>
    <row r="9" spans="1:18" x14ac:dyDescent="0.25">
      <c r="D9" s="280" t="s">
        <v>30</v>
      </c>
      <c r="E9" s="280"/>
      <c r="F9" s="280"/>
      <c r="G9" s="280" t="s">
        <v>31</v>
      </c>
      <c r="H9" s="280"/>
      <c r="I9" s="280"/>
      <c r="J9" s="280" t="s">
        <v>32</v>
      </c>
      <c r="K9" s="280"/>
      <c r="L9" s="280"/>
      <c r="M9" s="280" t="s">
        <v>33</v>
      </c>
      <c r="N9" s="280"/>
      <c r="O9" s="281"/>
      <c r="P9" s="280" t="s">
        <v>34</v>
      </c>
      <c r="Q9" s="280"/>
      <c r="R9" s="280"/>
    </row>
    <row r="10" spans="1:18" x14ac:dyDescent="0.25">
      <c r="A10" s="42"/>
      <c r="B10" s="45" t="s">
        <v>35</v>
      </c>
      <c r="C10" s="45" t="s">
        <v>36</v>
      </c>
      <c r="D10" s="22" t="s">
        <v>37</v>
      </c>
      <c r="E10" s="22" t="s">
        <v>38</v>
      </c>
      <c r="F10" s="46" t="s">
        <v>39</v>
      </c>
      <c r="G10" s="22" t="s">
        <v>37</v>
      </c>
      <c r="H10" s="22" t="s">
        <v>38</v>
      </c>
      <c r="I10" s="46" t="s">
        <v>39</v>
      </c>
      <c r="J10" s="22" t="s">
        <v>37</v>
      </c>
      <c r="K10" s="22" t="s">
        <v>38</v>
      </c>
      <c r="L10" s="46" t="s">
        <v>39</v>
      </c>
      <c r="M10" s="22" t="s">
        <v>37</v>
      </c>
      <c r="N10" s="22" t="s">
        <v>38</v>
      </c>
      <c r="O10" s="46" t="s">
        <v>39</v>
      </c>
      <c r="P10" s="22" t="s">
        <v>37</v>
      </c>
      <c r="Q10" s="22" t="s">
        <v>38</v>
      </c>
      <c r="R10" s="22" t="s">
        <v>39</v>
      </c>
    </row>
    <row r="11" spans="1:18" x14ac:dyDescent="0.25">
      <c r="A11" s="42" t="s">
        <v>40</v>
      </c>
      <c r="B11" s="42">
        <v>130</v>
      </c>
      <c r="C11" s="42">
        <f>SUM(B11/$D$4)</f>
        <v>1.8055555555555556</v>
      </c>
      <c r="D11" s="41">
        <v>24</v>
      </c>
      <c r="E11" s="41">
        <v>16</v>
      </c>
      <c r="F11" s="42">
        <v>8</v>
      </c>
      <c r="G11" s="41">
        <f>SUM(D11*C11)</f>
        <v>43.333333333333336</v>
      </c>
      <c r="H11" s="41">
        <f>SUM(E11*C11)</f>
        <v>28.888888888888889</v>
      </c>
      <c r="I11" s="42">
        <f>SUM(F11*C11)</f>
        <v>14.444444444444445</v>
      </c>
      <c r="J11" s="41">
        <f>SUM(G11/D6)</f>
        <v>1.3541666666666667</v>
      </c>
      <c r="K11" s="41">
        <f>SUM(H11/D6)</f>
        <v>0.90277777777777779</v>
      </c>
      <c r="L11" s="42">
        <f>SUM(I11/D6)</f>
        <v>0.4513888888888889</v>
      </c>
      <c r="M11" s="41">
        <f>SUM(J11/60)</f>
        <v>2.2569444444444444E-2</v>
      </c>
      <c r="N11" s="41">
        <f>SUM(K11/60)</f>
        <v>1.5046296296296297E-2</v>
      </c>
      <c r="O11" s="42">
        <f>SUM(L11/60)</f>
        <v>7.5231481481481486E-3</v>
      </c>
      <c r="P11" s="41">
        <f>SUM(J11/3600)</f>
        <v>3.7615740740740741E-4</v>
      </c>
      <c r="Q11" s="41">
        <f>SUM(K11/3600)</f>
        <v>2.5077160493827162E-4</v>
      </c>
      <c r="R11" s="41">
        <f>SUM(L11/3600)</f>
        <v>1.2538580246913581E-4</v>
      </c>
    </row>
    <row r="12" spans="1:18" x14ac:dyDescent="0.25">
      <c r="A12" s="42" t="s">
        <v>41</v>
      </c>
      <c r="B12" s="42">
        <v>80</v>
      </c>
      <c r="C12" s="42">
        <f t="shared" ref="C12:C15" si="0">SUM(B12/$D$4)</f>
        <v>1.1111111111111112</v>
      </c>
      <c r="D12" s="41">
        <v>24</v>
      </c>
      <c r="E12" s="41">
        <v>16</v>
      </c>
      <c r="F12" s="42">
        <v>8</v>
      </c>
      <c r="G12" s="41">
        <f>SUM(D12*C12)</f>
        <v>26.666666666666668</v>
      </c>
      <c r="H12" s="41">
        <f>SUM(E12*C12)</f>
        <v>17.777777777777779</v>
      </c>
      <c r="I12" s="42">
        <f>SUM(F12*C12)</f>
        <v>8.8888888888888893</v>
      </c>
      <c r="J12" s="41">
        <f>SUM(G12/D6)</f>
        <v>0.83333333333333337</v>
      </c>
      <c r="K12" s="41">
        <f>SUM(H12/D6)</f>
        <v>0.55555555555555558</v>
      </c>
      <c r="L12" s="42">
        <f>SUM(I12/D6)</f>
        <v>0.27777777777777779</v>
      </c>
      <c r="M12" s="41">
        <f>SUM(J12/60)</f>
        <v>1.388888888888889E-2</v>
      </c>
      <c r="N12" s="41">
        <f t="shared" ref="N12:N14" si="1">SUM(K12/60)</f>
        <v>9.2592592592592605E-3</v>
      </c>
      <c r="O12" s="42">
        <f t="shared" ref="O12:O14" si="2">SUM(L12/60)</f>
        <v>4.6296296296296302E-3</v>
      </c>
      <c r="P12" s="41">
        <f t="shared" ref="P12:P14" si="3">SUM(J12/3600)</f>
        <v>2.3148148148148149E-4</v>
      </c>
      <c r="Q12" s="41">
        <f t="shared" ref="Q12:Q15" si="4">SUM(K12/3600)</f>
        <v>1.5432098765432098E-4</v>
      </c>
      <c r="R12" s="41">
        <f t="shared" ref="R12:R14" si="5">SUM(L12/3600)</f>
        <v>7.7160493827160492E-5</v>
      </c>
    </row>
    <row r="13" spans="1:18" x14ac:dyDescent="0.25">
      <c r="A13" s="42" t="s">
        <v>0</v>
      </c>
      <c r="B13" s="42">
        <v>75</v>
      </c>
      <c r="C13" s="42">
        <f t="shared" si="0"/>
        <v>1.0416666666666667</v>
      </c>
      <c r="D13" s="41">
        <v>24</v>
      </c>
      <c r="E13" s="41">
        <v>16</v>
      </c>
      <c r="F13" s="42">
        <v>8</v>
      </c>
      <c r="G13" s="41">
        <f>SUM(D13*C13)</f>
        <v>25</v>
      </c>
      <c r="H13" s="41">
        <f>SUM(E13*C13)</f>
        <v>16.666666666666668</v>
      </c>
      <c r="I13" s="42">
        <f>SUM(F13*C13)</f>
        <v>8.3333333333333339</v>
      </c>
      <c r="J13" s="41">
        <f>SUM(G13/D6)</f>
        <v>0.78125</v>
      </c>
      <c r="K13" s="41">
        <f>SUM(H13/D6)</f>
        <v>0.52083333333333337</v>
      </c>
      <c r="L13" s="42">
        <f>SUM(I13/D6)</f>
        <v>0.26041666666666669</v>
      </c>
      <c r="M13" s="41">
        <f>SUM(J13/60)</f>
        <v>1.3020833333333334E-2</v>
      </c>
      <c r="N13" s="41">
        <f t="shared" si="1"/>
        <v>8.6805555555555559E-3</v>
      </c>
      <c r="O13" s="42">
        <f t="shared" si="2"/>
        <v>4.340277777777778E-3</v>
      </c>
      <c r="P13" s="41">
        <f t="shared" si="3"/>
        <v>2.1701388888888888E-4</v>
      </c>
      <c r="Q13" s="41">
        <f t="shared" si="4"/>
        <v>1.4467592592592594E-4</v>
      </c>
      <c r="R13" s="41">
        <f t="shared" si="5"/>
        <v>7.2337962962962972E-5</v>
      </c>
    </row>
    <row r="14" spans="1:18" x14ac:dyDescent="0.25">
      <c r="A14" s="42" t="s">
        <v>42</v>
      </c>
      <c r="B14" s="42">
        <v>40</v>
      </c>
      <c r="C14" s="42">
        <f t="shared" si="0"/>
        <v>0.55555555555555558</v>
      </c>
      <c r="D14" s="41">
        <v>24</v>
      </c>
      <c r="E14" s="41">
        <v>16</v>
      </c>
      <c r="F14" s="42">
        <v>8</v>
      </c>
      <c r="G14" s="41">
        <f>SUM(D14*C14)</f>
        <v>13.333333333333334</v>
      </c>
      <c r="H14" s="41">
        <f>SUM(E14*C14)</f>
        <v>8.8888888888888893</v>
      </c>
      <c r="I14" s="42">
        <f>SUM(F14*C14)</f>
        <v>4.4444444444444446</v>
      </c>
      <c r="J14" s="41">
        <f>SUM(G14/D6)</f>
        <v>0.41666666666666669</v>
      </c>
      <c r="K14" s="41">
        <f>SUM(H14/D6)</f>
        <v>0.27777777777777779</v>
      </c>
      <c r="L14" s="42">
        <f>SUM(I14/D6)</f>
        <v>0.1388888888888889</v>
      </c>
      <c r="M14" s="41">
        <f>SUM(J14/60)</f>
        <v>6.9444444444444449E-3</v>
      </c>
      <c r="N14" s="41">
        <f t="shared" si="1"/>
        <v>4.6296296296296302E-3</v>
      </c>
      <c r="O14" s="42">
        <f t="shared" si="2"/>
        <v>2.3148148148148151E-3</v>
      </c>
      <c r="P14" s="41">
        <f t="shared" si="3"/>
        <v>1.1574074074074075E-4</v>
      </c>
      <c r="Q14" s="41">
        <f t="shared" si="4"/>
        <v>7.7160493827160492E-5</v>
      </c>
      <c r="R14" s="41">
        <f t="shared" si="5"/>
        <v>3.8580246913580246E-5</v>
      </c>
    </row>
    <row r="15" spans="1:18" x14ac:dyDescent="0.25">
      <c r="A15" s="42" t="s">
        <v>43</v>
      </c>
      <c r="B15" s="42">
        <v>26</v>
      </c>
      <c r="C15" s="42">
        <f t="shared" si="0"/>
        <v>0.3611111111111111</v>
      </c>
      <c r="D15" s="41">
        <v>24</v>
      </c>
      <c r="E15" s="41">
        <v>16</v>
      </c>
      <c r="F15" s="42">
        <v>8</v>
      </c>
      <c r="G15" s="41">
        <f>SUM(D15*C15)</f>
        <v>8.6666666666666661</v>
      </c>
      <c r="H15" s="41">
        <f>SUM(E15*C15)</f>
        <v>5.7777777777777777</v>
      </c>
      <c r="I15" s="42">
        <f>SUM(F15*C15)</f>
        <v>2.8888888888888888</v>
      </c>
      <c r="J15" s="41">
        <f>SUM(G15/D6)</f>
        <v>0.27083333333333331</v>
      </c>
      <c r="K15" s="41">
        <f>SUM(H15/D6)</f>
        <v>0.18055555555555555</v>
      </c>
      <c r="L15" s="42">
        <f>SUM(I15/D6)</f>
        <v>9.0277777777777776E-2</v>
      </c>
      <c r="M15" s="41">
        <f>SUM(J15/60)</f>
        <v>4.5138888888888885E-3</v>
      </c>
      <c r="N15" s="41">
        <f>SUM(K15/60)</f>
        <v>3.0092592592592593E-3</v>
      </c>
      <c r="O15" s="42">
        <f>SUM(L15/60)</f>
        <v>1.5046296296296296E-3</v>
      </c>
      <c r="P15" s="41">
        <f>SUM(J15/3600)</f>
        <v>7.5231481481481474E-5</v>
      </c>
      <c r="Q15" s="41">
        <f t="shared" si="4"/>
        <v>5.0154320987654318E-5</v>
      </c>
      <c r="R15" s="41">
        <f>SUM(L15/3600)</f>
        <v>2.5077160493827159E-5</v>
      </c>
    </row>
    <row r="18" spans="2:10" x14ac:dyDescent="0.25">
      <c r="C18" s="41">
        <f>C15*16</f>
        <v>5.7777777777777777</v>
      </c>
    </row>
    <row r="20" spans="2:10" x14ac:dyDescent="0.25">
      <c r="D20" s="41" t="s">
        <v>115</v>
      </c>
    </row>
    <row r="21" spans="2:10" x14ac:dyDescent="0.25">
      <c r="B21" s="41" t="s">
        <v>114</v>
      </c>
      <c r="C21" s="41">
        <v>1.25</v>
      </c>
      <c r="D21" s="41">
        <f>C21/60</f>
        <v>2.0833333333333332E-2</v>
      </c>
      <c r="G21" s="41">
        <v>100</v>
      </c>
      <c r="I21" s="41">
        <f>G21/G23</f>
        <v>66.666666666666671</v>
      </c>
      <c r="J21" s="41">
        <f>I21/G22</f>
        <v>6.6666666666666671E-3</v>
      </c>
    </row>
    <row r="22" spans="2:10" x14ac:dyDescent="0.25">
      <c r="G22" s="41">
        <v>10000</v>
      </c>
    </row>
    <row r="23" spans="2:10" x14ac:dyDescent="0.25">
      <c r="D23" s="41">
        <f>C21/32</f>
        <v>3.90625E-2</v>
      </c>
      <c r="G23" s="41">
        <v>1.5</v>
      </c>
    </row>
  </sheetData>
  <sheetProtection formatCells="0" formatColumns="0" formatRows="0" selectLockedCells="1" sort="0" autoFilter="0" pivotTables="0" selectUnlockedCells="1"/>
  <mergeCells count="5">
    <mergeCell ref="D9:F9"/>
    <mergeCell ref="G9:I9"/>
    <mergeCell ref="J9:L9"/>
    <mergeCell ref="M9:O9"/>
    <mergeCell ref="P9:R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B28"/>
  <sheetViews>
    <sheetView workbookViewId="0">
      <selection activeCell="D9" sqref="D9:D13"/>
    </sheetView>
  </sheetViews>
  <sheetFormatPr defaultRowHeight="15" x14ac:dyDescent="0.25"/>
  <cols>
    <col min="1" max="1" width="22" bestFit="1" customWidth="1"/>
    <col min="2" max="2" width="12.42578125" bestFit="1" customWidth="1"/>
    <col min="3" max="3" width="12.42578125" customWidth="1"/>
    <col min="4" max="4" width="9.5703125" bestFit="1" customWidth="1"/>
    <col min="17" max="17" width="40.28515625" bestFit="1" customWidth="1"/>
    <col min="19" max="19" width="12.42578125" bestFit="1" customWidth="1"/>
    <col min="23" max="23" width="9.7109375" bestFit="1" customWidth="1"/>
    <col min="24" max="24" width="9.85546875" bestFit="1" customWidth="1"/>
  </cols>
  <sheetData>
    <row r="1" spans="1:28" ht="18.75" thickBot="1" x14ac:dyDescent="0.3">
      <c r="P1" s="296" t="s">
        <v>84</v>
      </c>
      <c r="Q1" s="297"/>
      <c r="R1" s="298"/>
      <c r="S1" s="298"/>
      <c r="T1" s="299"/>
      <c r="U1" s="299"/>
      <c r="V1" s="299"/>
      <c r="W1" s="299"/>
      <c r="X1" s="122"/>
      <c r="Y1" s="293"/>
      <c r="Z1" s="293"/>
      <c r="AA1" s="289"/>
      <c r="AB1" s="290"/>
    </row>
    <row r="2" spans="1:28" x14ac:dyDescent="0.25">
      <c r="P2" s="123"/>
      <c r="Q2" s="291" t="s">
        <v>85</v>
      </c>
      <c r="R2" s="291"/>
      <c r="S2" s="291"/>
      <c r="T2" s="291"/>
      <c r="U2" s="291" t="s">
        <v>86</v>
      </c>
      <c r="V2" s="291"/>
      <c r="W2" s="123" t="s">
        <v>87</v>
      </c>
      <c r="X2" s="291" t="s">
        <v>88</v>
      </c>
      <c r="Y2" s="291"/>
      <c r="Z2" s="291" t="s">
        <v>89</v>
      </c>
      <c r="AA2" s="292"/>
      <c r="AB2" s="124"/>
    </row>
    <row r="3" spans="1:28" ht="15.75" thickBot="1" x14ac:dyDescent="0.3">
      <c r="B3" s="93" t="s">
        <v>48</v>
      </c>
      <c r="C3" s="93"/>
      <c r="D3" t="s">
        <v>49</v>
      </c>
      <c r="P3" s="125" t="s">
        <v>90</v>
      </c>
      <c r="Q3" s="287" t="s">
        <v>91</v>
      </c>
      <c r="R3" s="287"/>
      <c r="S3" s="287" t="s">
        <v>92</v>
      </c>
      <c r="T3" s="287"/>
      <c r="U3" s="287" t="s">
        <v>93</v>
      </c>
      <c r="V3" s="287"/>
      <c r="W3" s="125" t="s">
        <v>94</v>
      </c>
      <c r="X3" s="287" t="s">
        <v>95</v>
      </c>
      <c r="Y3" s="287"/>
      <c r="Z3" s="287" t="s">
        <v>93</v>
      </c>
      <c r="AA3" s="288"/>
      <c r="AB3" s="124"/>
    </row>
    <row r="4" spans="1:28" ht="15.75" thickBot="1" x14ac:dyDescent="0.3">
      <c r="B4" s="93"/>
      <c r="D4" s="231"/>
      <c r="P4" s="99" t="s">
        <v>96</v>
      </c>
      <c r="Q4" s="283" t="s">
        <v>97</v>
      </c>
      <c r="R4" s="283"/>
      <c r="S4" s="283" t="s">
        <v>98</v>
      </c>
      <c r="T4" s="283"/>
      <c r="U4" s="283">
        <v>51</v>
      </c>
      <c r="V4" s="283"/>
      <c r="W4" s="187" t="s">
        <v>99</v>
      </c>
      <c r="X4" s="284">
        <v>48.8</v>
      </c>
      <c r="Y4" s="284"/>
      <c r="Z4" s="284">
        <v>244</v>
      </c>
      <c r="AA4" s="285"/>
      <c r="AB4" s="188"/>
    </row>
    <row r="5" spans="1:28" ht="45.75" thickBot="1" x14ac:dyDescent="0.3">
      <c r="B5" s="93"/>
      <c r="D5" s="231"/>
      <c r="P5" s="127" t="s">
        <v>100</v>
      </c>
      <c r="Q5" s="283" t="s">
        <v>97</v>
      </c>
      <c r="R5" s="283"/>
      <c r="S5" s="283" t="s">
        <v>98</v>
      </c>
      <c r="T5" s="283"/>
      <c r="U5" s="283">
        <v>44</v>
      </c>
      <c r="V5" s="283"/>
      <c r="W5" s="187" t="s">
        <v>99</v>
      </c>
      <c r="X5" s="284">
        <v>48.8</v>
      </c>
      <c r="Y5" s="284"/>
      <c r="Z5" s="284">
        <v>244</v>
      </c>
      <c r="AA5" s="285"/>
      <c r="AB5" s="189">
        <f>Z5+Z4</f>
        <v>488</v>
      </c>
    </row>
    <row r="6" spans="1:28" ht="39" thickBot="1" x14ac:dyDescent="0.3">
      <c r="B6" s="93"/>
      <c r="D6" s="231"/>
      <c r="P6" s="126" t="s">
        <v>101</v>
      </c>
      <c r="Q6" s="283"/>
      <c r="R6" s="283"/>
      <c r="S6" s="283"/>
      <c r="T6" s="283"/>
      <c r="U6" s="283"/>
      <c r="V6" s="283"/>
      <c r="W6" s="187"/>
      <c r="X6" s="286"/>
      <c r="Y6" s="286"/>
      <c r="Z6" s="284">
        <v>277</v>
      </c>
      <c r="AA6" s="285"/>
      <c r="AB6" s="188"/>
    </row>
    <row r="7" spans="1:28" ht="15.75" thickBot="1" x14ac:dyDescent="0.3">
      <c r="B7" s="93"/>
      <c r="D7" s="231"/>
      <c r="P7" s="100" t="s">
        <v>102</v>
      </c>
      <c r="Q7" s="282"/>
      <c r="R7" s="282"/>
      <c r="S7" s="283"/>
      <c r="T7" s="283"/>
      <c r="U7" s="283"/>
      <c r="V7" s="283"/>
      <c r="W7" s="187"/>
      <c r="X7" s="283"/>
      <c r="Y7" s="283"/>
      <c r="Z7" s="284">
        <v>277</v>
      </c>
      <c r="AA7" s="285"/>
      <c r="AB7" s="189">
        <f>Z7+Z6</f>
        <v>554</v>
      </c>
    </row>
    <row r="8" spans="1:28" x14ac:dyDescent="0.25">
      <c r="B8" s="93"/>
      <c r="D8" s="231"/>
    </row>
    <row r="9" spans="1:28" x14ac:dyDescent="0.25">
      <c r="A9" t="str">
        <f t="shared" ref="A9:A13" si="0">C9&amp;B9</f>
        <v>Flex FASTDual Cartridge</v>
      </c>
      <c r="B9" s="93" t="s">
        <v>8</v>
      </c>
      <c r="C9" t="s">
        <v>122</v>
      </c>
      <c r="D9" s="231">
        <v>410.96</v>
      </c>
    </row>
    <row r="10" spans="1:28" x14ac:dyDescent="0.25">
      <c r="A10" t="str">
        <f t="shared" si="0"/>
        <v>Flex FAST5 Gal Jug</v>
      </c>
      <c r="B10" s="93" t="s">
        <v>125</v>
      </c>
      <c r="C10" t="s">
        <v>122</v>
      </c>
      <c r="D10" s="231">
        <v>968.54</v>
      </c>
    </row>
    <row r="11" spans="1:28" x14ac:dyDescent="0.25">
      <c r="A11" t="str">
        <f t="shared" si="0"/>
        <v>Flex FASTDual Tank</v>
      </c>
      <c r="B11" s="93" t="s">
        <v>0</v>
      </c>
      <c r="C11" t="s">
        <v>122</v>
      </c>
      <c r="D11" s="231">
        <v>1646.2</v>
      </c>
      <c r="H11">
        <v>6987.7</v>
      </c>
    </row>
    <row r="12" spans="1:28" x14ac:dyDescent="0.25">
      <c r="A12" t="str">
        <f t="shared" si="0"/>
        <v>Flex FAST15 Gal Drum</v>
      </c>
      <c r="B12" s="93" t="s">
        <v>7</v>
      </c>
      <c r="C12" t="s">
        <v>122</v>
      </c>
      <c r="D12" s="231">
        <v>2249.44</v>
      </c>
    </row>
    <row r="13" spans="1:28" x14ac:dyDescent="0.25">
      <c r="A13" t="str">
        <f t="shared" si="0"/>
        <v>Flex FAST50 Gal Drum</v>
      </c>
      <c r="B13" s="93" t="s">
        <v>6</v>
      </c>
      <c r="C13" t="s">
        <v>122</v>
      </c>
      <c r="D13" s="231">
        <v>6987.7</v>
      </c>
    </row>
    <row r="14" spans="1:28" ht="15.75" thickBot="1" x14ac:dyDescent="0.3"/>
    <row r="15" spans="1:28" ht="15.75" thickBot="1" x14ac:dyDescent="0.3">
      <c r="P15" s="112">
        <v>310472</v>
      </c>
      <c r="Q15" s="113" t="s">
        <v>68</v>
      </c>
      <c r="R15" s="114" t="s">
        <v>69</v>
      </c>
      <c r="S15" s="114" t="s">
        <v>70</v>
      </c>
      <c r="T15" s="114">
        <v>540</v>
      </c>
      <c r="U15" s="114" t="s">
        <v>71</v>
      </c>
      <c r="V15" s="115"/>
      <c r="W15" s="180">
        <v>1610</v>
      </c>
    </row>
    <row r="16" spans="1:28" ht="15.75" thickBot="1" x14ac:dyDescent="0.3">
      <c r="P16" s="116">
        <v>310473</v>
      </c>
      <c r="Q16" s="117" t="s">
        <v>72</v>
      </c>
      <c r="R16" s="118" t="s">
        <v>69</v>
      </c>
      <c r="S16" s="118" t="s">
        <v>70</v>
      </c>
      <c r="T16" s="118">
        <v>513</v>
      </c>
      <c r="U16" s="118" t="s">
        <v>71</v>
      </c>
      <c r="V16" s="119"/>
      <c r="W16" s="181">
        <v>1610</v>
      </c>
      <c r="X16" s="183">
        <f>SUM(W15:W16)</f>
        <v>3220</v>
      </c>
    </row>
    <row r="17" spans="16:24" ht="15.75" thickBot="1" x14ac:dyDescent="0.3">
      <c r="P17" s="116">
        <v>304003</v>
      </c>
      <c r="Q17" s="117" t="s">
        <v>73</v>
      </c>
      <c r="R17" s="118" t="s">
        <v>69</v>
      </c>
      <c r="S17" s="118" t="s">
        <v>70</v>
      </c>
      <c r="T17" s="118">
        <v>537</v>
      </c>
      <c r="U17" s="118" t="s">
        <v>71</v>
      </c>
      <c r="V17" s="119"/>
      <c r="W17" s="181">
        <v>1550</v>
      </c>
      <c r="X17" s="184"/>
    </row>
    <row r="18" spans="16:24" ht="15.75" thickBot="1" x14ac:dyDescent="0.3">
      <c r="P18" s="116">
        <v>304004</v>
      </c>
      <c r="Q18" s="117" t="s">
        <v>74</v>
      </c>
      <c r="R18" s="118" t="s">
        <v>69</v>
      </c>
      <c r="S18" s="118" t="s">
        <v>70</v>
      </c>
      <c r="T18" s="118">
        <v>513</v>
      </c>
      <c r="U18" s="118" t="s">
        <v>71</v>
      </c>
      <c r="V18" s="119"/>
      <c r="W18" s="181">
        <v>1550</v>
      </c>
      <c r="X18" s="183">
        <f>SUM(W17:W18)</f>
        <v>3100</v>
      </c>
    </row>
    <row r="19" spans="16:24" ht="15.75" thickBot="1" x14ac:dyDescent="0.3">
      <c r="P19" s="116"/>
      <c r="Q19" s="120"/>
      <c r="R19" s="118"/>
      <c r="S19" s="118"/>
      <c r="T19" s="118"/>
      <c r="U19" s="118"/>
      <c r="V19" s="119"/>
      <c r="W19" s="182"/>
      <c r="X19" s="184"/>
    </row>
    <row r="20" spans="16:24" ht="15.75" thickBot="1" x14ac:dyDescent="0.3">
      <c r="P20" s="116">
        <v>317329</v>
      </c>
      <c r="Q20" s="117" t="s">
        <v>68</v>
      </c>
      <c r="R20" s="121" t="s">
        <v>75</v>
      </c>
      <c r="S20" s="118" t="s">
        <v>76</v>
      </c>
      <c r="T20" s="118">
        <v>150</v>
      </c>
      <c r="U20" s="118" t="s">
        <v>71</v>
      </c>
      <c r="V20" s="119"/>
      <c r="W20" s="181">
        <v>555</v>
      </c>
      <c r="X20" s="184"/>
    </row>
    <row r="21" spans="16:24" ht="15.75" thickBot="1" x14ac:dyDescent="0.3">
      <c r="P21" s="116">
        <v>317331</v>
      </c>
      <c r="Q21" s="117" t="s">
        <v>72</v>
      </c>
      <c r="R21" s="121" t="s">
        <v>75</v>
      </c>
      <c r="S21" s="118" t="s">
        <v>76</v>
      </c>
      <c r="T21" s="118">
        <v>135</v>
      </c>
      <c r="U21" s="118" t="s">
        <v>71</v>
      </c>
      <c r="V21" s="119"/>
      <c r="W21" s="181">
        <v>555</v>
      </c>
      <c r="X21" s="183">
        <f>SUM(W20:W21)</f>
        <v>1110</v>
      </c>
    </row>
    <row r="22" spans="16:24" ht="15.75" thickBot="1" x14ac:dyDescent="0.3">
      <c r="P22" s="116">
        <v>304001</v>
      </c>
      <c r="Q22" s="117" t="s">
        <v>73</v>
      </c>
      <c r="R22" s="121" t="s">
        <v>69</v>
      </c>
      <c r="S22" s="118" t="s">
        <v>76</v>
      </c>
      <c r="T22" s="118">
        <v>155</v>
      </c>
      <c r="U22" s="118" t="s">
        <v>71</v>
      </c>
      <c r="V22" s="119"/>
      <c r="W22" s="181">
        <v>535</v>
      </c>
      <c r="X22" s="184"/>
    </row>
    <row r="23" spans="16:24" ht="15.75" thickBot="1" x14ac:dyDescent="0.3">
      <c r="P23" s="116">
        <v>304002</v>
      </c>
      <c r="Q23" s="117" t="s">
        <v>74</v>
      </c>
      <c r="R23" s="121" t="s">
        <v>69</v>
      </c>
      <c r="S23" s="118" t="s">
        <v>76</v>
      </c>
      <c r="T23" s="118">
        <v>130</v>
      </c>
      <c r="U23" s="118" t="s">
        <v>71</v>
      </c>
      <c r="V23" s="119"/>
      <c r="W23" s="181">
        <v>535</v>
      </c>
      <c r="X23" s="183">
        <f>SUM(W22:W23)</f>
        <v>1070</v>
      </c>
    </row>
    <row r="24" spans="16:24" x14ac:dyDescent="0.25">
      <c r="P24" s="300">
        <v>325445</v>
      </c>
      <c r="Q24" s="101" t="s">
        <v>77</v>
      </c>
      <c r="R24" s="302" t="s">
        <v>79</v>
      </c>
      <c r="S24" s="304" t="s">
        <v>80</v>
      </c>
      <c r="T24" s="304">
        <v>41</v>
      </c>
      <c r="U24" s="304" t="s">
        <v>81</v>
      </c>
      <c r="V24" s="306"/>
      <c r="W24" s="294">
        <v>425</v>
      </c>
      <c r="X24" s="184"/>
    </row>
    <row r="25" spans="16:24" ht="15.75" thickBot="1" x14ac:dyDescent="0.3">
      <c r="P25" s="301"/>
      <c r="Q25" s="102" t="s">
        <v>78</v>
      </c>
      <c r="R25" s="303"/>
      <c r="S25" s="305"/>
      <c r="T25" s="305"/>
      <c r="U25" s="305"/>
      <c r="V25" s="307"/>
      <c r="W25" s="295"/>
      <c r="X25" s="184"/>
    </row>
    <row r="26" spans="16:24" ht="15.75" thickBot="1" x14ac:dyDescent="0.3">
      <c r="P26" s="103">
        <v>325664</v>
      </c>
      <c r="Q26" s="104" t="s">
        <v>82</v>
      </c>
      <c r="R26" s="105" t="s">
        <v>79</v>
      </c>
      <c r="S26" s="106" t="s">
        <v>80</v>
      </c>
      <c r="T26" s="106">
        <v>41</v>
      </c>
      <c r="U26" s="106" t="s">
        <v>81</v>
      </c>
      <c r="V26" s="107"/>
      <c r="W26" s="185">
        <v>425</v>
      </c>
      <c r="X26" s="183">
        <f>W26+W24</f>
        <v>850</v>
      </c>
    </row>
    <row r="27" spans="16:24" ht="15.75" thickBot="1" x14ac:dyDescent="0.3">
      <c r="P27" s="108"/>
      <c r="Q27" s="109" t="s">
        <v>83</v>
      </c>
      <c r="R27" s="105"/>
      <c r="S27" s="106"/>
      <c r="T27" s="106"/>
      <c r="U27" s="106"/>
      <c r="V27" s="107"/>
      <c r="W27" s="186">
        <v>550</v>
      </c>
      <c r="X27" s="184"/>
    </row>
    <row r="28" spans="16:24" ht="15.75" thickBot="1" x14ac:dyDescent="0.3">
      <c r="P28" s="108"/>
      <c r="Q28" s="110" t="s">
        <v>83</v>
      </c>
      <c r="R28" s="111"/>
      <c r="S28" s="97"/>
      <c r="T28" s="97"/>
      <c r="U28" s="97"/>
      <c r="V28" s="98"/>
      <c r="W28" s="186">
        <v>550</v>
      </c>
      <c r="X28" s="183">
        <f>W28+W27</f>
        <v>1100</v>
      </c>
    </row>
  </sheetData>
  <sheetProtection formatCells="0" formatColumns="0" formatRows="0" selectLockedCells="1" autoFilter="0" pivotTables="0" selectUnlockedCells="1"/>
  <mergeCells count="43">
    <mergeCell ref="W24:W25"/>
    <mergeCell ref="P1:Q1"/>
    <mergeCell ref="R1:S1"/>
    <mergeCell ref="T1:U1"/>
    <mergeCell ref="V1:W1"/>
    <mergeCell ref="Q3:R3"/>
    <mergeCell ref="S3:T3"/>
    <mergeCell ref="U3:V3"/>
    <mergeCell ref="P24:P25"/>
    <mergeCell ref="R24:R25"/>
    <mergeCell ref="S24:S25"/>
    <mergeCell ref="T24:T25"/>
    <mergeCell ref="U24:U25"/>
    <mergeCell ref="V24:V25"/>
    <mergeCell ref="Q6:R6"/>
    <mergeCell ref="S6:T6"/>
    <mergeCell ref="AA1:AB1"/>
    <mergeCell ref="Q2:R2"/>
    <mergeCell ref="S2:T2"/>
    <mergeCell ref="U2:V2"/>
    <mergeCell ref="X2:Y2"/>
    <mergeCell ref="Z2:AA2"/>
    <mergeCell ref="Y1:Z1"/>
    <mergeCell ref="Z3:AA3"/>
    <mergeCell ref="Q4:R4"/>
    <mergeCell ref="S4:T4"/>
    <mergeCell ref="U4:V4"/>
    <mergeCell ref="X4:Y4"/>
    <mergeCell ref="Z4:AA4"/>
    <mergeCell ref="X3:Y3"/>
    <mergeCell ref="U6:V6"/>
    <mergeCell ref="X6:Y6"/>
    <mergeCell ref="Z6:AA6"/>
    <mergeCell ref="Q5:R5"/>
    <mergeCell ref="S5:T5"/>
    <mergeCell ref="U5:V5"/>
    <mergeCell ref="X5:Y5"/>
    <mergeCell ref="Z5:AA5"/>
    <mergeCell ref="Q7:R7"/>
    <mergeCell ref="S7:T7"/>
    <mergeCell ref="U7:V7"/>
    <mergeCell ref="X7:Y7"/>
    <mergeCell ref="Z7:AA7"/>
  </mergeCells>
  <hyperlinks>
    <hyperlink ref="Q15" r:id="rId1" display="https://www.carlislesyntec.com/view.aspx?mode=media&amp;contentID=1221" xr:uid="{00000000-0004-0000-0400-000000000000}"/>
    <hyperlink ref="Q16" r:id="rId2" display="https://www.carlislesyntec.com/view.aspx?mode=media&amp;contentID=1221" xr:uid="{00000000-0004-0000-0400-000001000000}"/>
    <hyperlink ref="Q17" r:id="rId3" display="https://www.carlislesyntec.com/view.aspx?mode=media&amp;contentID=1212" xr:uid="{00000000-0004-0000-0400-000002000000}"/>
    <hyperlink ref="Q18" r:id="rId4" display="https://www.carlislesyntec.com/view.aspx?mode=media&amp;contentID=1212" xr:uid="{00000000-0004-0000-0400-000003000000}"/>
    <hyperlink ref="Q20" r:id="rId5" display="https://www.carlislesyntec.com/view.aspx?mode=media&amp;contentID=1221" xr:uid="{00000000-0004-0000-0400-000004000000}"/>
    <hyperlink ref="Q21" r:id="rId6" display="https://www.carlislesyntec.com/view.aspx?mode=media&amp;contentID=1221" xr:uid="{00000000-0004-0000-0400-000005000000}"/>
    <hyperlink ref="Q22" r:id="rId7" display="https://www.carlislesyntec.com/view.aspx?mode=media&amp;contentID=1212" xr:uid="{00000000-0004-0000-0400-000006000000}"/>
    <hyperlink ref="Q23" r:id="rId8" display="https://www.carlislesyntec.com/view.aspx?mode=media&amp;contentID=1212" xr:uid="{00000000-0004-0000-0400-000007000000}"/>
    <hyperlink ref="Q26" r:id="rId9" display="https://www.carlislesyntec.com/view.aspx?mode=media&amp;contentID=5636" xr:uid="{00000000-0004-0000-0400-000008000000}"/>
    <hyperlink ref="P4" r:id="rId10" display="https://www.carlislesyntec.com/view.aspx?mode=media&amp;contentID=1218" xr:uid="{00000000-0004-0000-0400-000009000000}"/>
    <hyperlink ref="P5" r:id="rId11" display="https://www.carlislesyntec.com/view.aspx?mode=media&amp;contentID=1218" xr:uid="{00000000-0004-0000-0400-00000A000000}"/>
  </hyperlinks>
  <pageMargins left="0.7" right="0.7" top="0.75" bottom="0.75" header="0.3" footer="0.3"/>
  <pageSetup orientation="portrait" horizontalDpi="1200" verticalDpi="1200"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SynTec_FAST</vt:lpstr>
      <vt:lpstr>Calculator</vt:lpstr>
      <vt:lpstr>Coverage Rates</vt:lpstr>
      <vt:lpstr>Input Data</vt:lpstr>
      <vt:lpstr>MISC</vt:lpstr>
      <vt:lpstr>cost</vt:lpstr>
      <vt:lpstr>FAST</vt:lpstr>
      <vt:lpstr>lookup</vt:lpstr>
      <vt:lpstr>SynTec_FAST!Print_Area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Calaman, Brian</dc:creator>
  <cp:lastModifiedBy>Wenger, Jordan</cp:lastModifiedBy>
  <cp:lastPrinted>2017-04-24T18:39:41Z</cp:lastPrinted>
  <dcterms:created xsi:type="dcterms:W3CDTF">2016-10-12T13:06:33Z</dcterms:created>
  <dcterms:modified xsi:type="dcterms:W3CDTF">2023-04-24T13:27:57Z</dcterms:modified>
</cp:coreProperties>
</file>